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980" yWindow="0" windowWidth="24020" windowHeight="14300" tabRatio="730"/>
  </bookViews>
  <sheets>
    <sheet name="Draft Budget 2018 to 2019" sheetId="8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69" i="8" l="1"/>
  <c r="L100" i="8"/>
  <c r="M100" i="8"/>
  <c r="M55" i="8"/>
  <c r="M196" i="8"/>
  <c r="M187" i="8"/>
  <c r="L187" i="8"/>
  <c r="M195" i="8"/>
  <c r="M194" i="8"/>
  <c r="L182" i="8"/>
  <c r="M182" i="8"/>
  <c r="L181" i="8"/>
  <c r="M181" i="8"/>
  <c r="I183" i="8"/>
  <c r="I184" i="8"/>
  <c r="I185" i="8"/>
  <c r="I186" i="8"/>
  <c r="I188" i="8"/>
  <c r="I190" i="8"/>
  <c r="K178" i="8"/>
  <c r="I178" i="8"/>
  <c r="K1" i="8"/>
  <c r="M66" i="8"/>
  <c r="M73" i="8"/>
  <c r="M101" i="8"/>
  <c r="M109" i="8"/>
  <c r="M134" i="8"/>
  <c r="M168" i="8"/>
  <c r="M166" i="8"/>
  <c r="M167" i="8"/>
  <c r="L165" i="8"/>
  <c r="M165" i="8"/>
  <c r="L164" i="8"/>
  <c r="M164" i="8"/>
  <c r="L163" i="8"/>
  <c r="M163" i="8"/>
  <c r="L161" i="8"/>
  <c r="M161" i="8"/>
  <c r="M156" i="8"/>
  <c r="M157" i="8"/>
  <c r="L155" i="8"/>
  <c r="M155" i="8"/>
  <c r="L154" i="8"/>
  <c r="M154" i="8"/>
  <c r="L153" i="8"/>
  <c r="M153" i="8"/>
  <c r="L152" i="8"/>
  <c r="M152" i="8"/>
  <c r="L151" i="8"/>
  <c r="M151" i="8"/>
  <c r="L150" i="8"/>
  <c r="M150" i="8"/>
  <c r="L148" i="8"/>
  <c r="M148" i="8"/>
  <c r="M147" i="8"/>
  <c r="L145" i="8"/>
  <c r="M145" i="8"/>
  <c r="M144" i="8"/>
  <c r="L143" i="8"/>
  <c r="M143" i="8"/>
  <c r="L142" i="8"/>
  <c r="M142" i="8"/>
  <c r="L141" i="8"/>
  <c r="M141" i="8"/>
  <c r="L139" i="8"/>
  <c r="M139" i="8"/>
  <c r="L138" i="8"/>
  <c r="M138" i="8"/>
  <c r="M133" i="8"/>
  <c r="L131" i="8"/>
  <c r="M131" i="8"/>
  <c r="L130" i="8"/>
  <c r="M130" i="8"/>
  <c r="L129" i="8"/>
  <c r="M129" i="8"/>
  <c r="M126" i="8"/>
  <c r="M127" i="8"/>
  <c r="L125" i="8"/>
  <c r="M125" i="8"/>
  <c r="L124" i="8"/>
  <c r="M124" i="8"/>
  <c r="M122" i="8"/>
  <c r="L121" i="8"/>
  <c r="M121" i="8"/>
  <c r="L120" i="8"/>
  <c r="M120" i="8"/>
  <c r="L119" i="8"/>
  <c r="M119" i="8"/>
  <c r="M117" i="8"/>
  <c r="L116" i="8"/>
  <c r="M116" i="8"/>
  <c r="L115" i="8"/>
  <c r="M115" i="8"/>
  <c r="L114" i="8"/>
  <c r="M114" i="8"/>
  <c r="L113" i="8"/>
  <c r="M113" i="8"/>
  <c r="L108" i="8"/>
  <c r="M108" i="8"/>
  <c r="L107" i="8"/>
  <c r="M107" i="8"/>
  <c r="L104" i="8"/>
  <c r="M104" i="8"/>
  <c r="L99" i="8"/>
  <c r="M99" i="8"/>
  <c r="L98" i="8"/>
  <c r="M98" i="8"/>
  <c r="L93" i="8"/>
  <c r="M93" i="8"/>
  <c r="L92" i="8"/>
  <c r="M92" i="8"/>
  <c r="M90" i="8"/>
  <c r="L89" i="8"/>
  <c r="M89" i="8"/>
  <c r="L88" i="8"/>
  <c r="M88" i="8"/>
  <c r="L86" i="8"/>
  <c r="M86" i="8"/>
  <c r="L84" i="8"/>
  <c r="M84" i="8"/>
  <c r="L83" i="8"/>
  <c r="M83" i="8"/>
  <c r="L82" i="8"/>
  <c r="M82" i="8"/>
  <c r="L81" i="8"/>
  <c r="M81" i="8"/>
  <c r="L80" i="8"/>
  <c r="M80" i="8"/>
  <c r="L79" i="8"/>
  <c r="M79" i="8"/>
  <c r="L78" i="8"/>
  <c r="M78" i="8"/>
  <c r="L77" i="8"/>
  <c r="M77" i="8"/>
  <c r="M72" i="8"/>
  <c r="L71" i="8"/>
  <c r="M71" i="8"/>
  <c r="L70" i="8"/>
  <c r="M70" i="8"/>
  <c r="L69" i="8"/>
  <c r="M69" i="8"/>
  <c r="L65" i="8"/>
  <c r="M65" i="8"/>
  <c r="L64" i="8"/>
  <c r="M64" i="8"/>
  <c r="M60" i="8"/>
  <c r="M59" i="8"/>
  <c r="M58" i="8"/>
  <c r="M57" i="8"/>
  <c r="M56" i="8"/>
  <c r="L54" i="8"/>
  <c r="M54" i="8"/>
  <c r="L53" i="8"/>
  <c r="M53" i="8"/>
  <c r="L52" i="8"/>
  <c r="M52" i="8"/>
  <c r="L51" i="8"/>
  <c r="M51" i="8"/>
  <c r="L50" i="8"/>
  <c r="M50" i="8"/>
  <c r="M45" i="8"/>
  <c r="M46" i="8"/>
  <c r="L44" i="8"/>
  <c r="M44" i="8"/>
  <c r="L43" i="8"/>
  <c r="M43" i="8"/>
  <c r="L42" i="8"/>
  <c r="M42" i="8"/>
  <c r="L41" i="8"/>
  <c r="M41" i="8"/>
  <c r="L40" i="8"/>
  <c r="M40" i="8"/>
  <c r="M38" i="8"/>
  <c r="L35" i="8"/>
  <c r="L34" i="8"/>
  <c r="M34" i="8"/>
  <c r="L33" i="8"/>
  <c r="M33" i="8"/>
  <c r="L32" i="8"/>
  <c r="M32" i="8"/>
  <c r="L31" i="8"/>
  <c r="M31" i="8"/>
  <c r="L30" i="8"/>
  <c r="M30" i="8"/>
  <c r="M29" i="8"/>
  <c r="M18" i="8"/>
  <c r="M17" i="8"/>
  <c r="M16" i="8"/>
  <c r="M15" i="8"/>
  <c r="M13" i="8"/>
  <c r="M11" i="8"/>
  <c r="M8" i="8"/>
  <c r="M7" i="8"/>
  <c r="L29" i="8"/>
  <c r="M21" i="8"/>
  <c r="M9" i="8"/>
  <c r="M22" i="8"/>
  <c r="L18" i="8"/>
  <c r="L17" i="8"/>
  <c r="L16" i="8"/>
  <c r="L15" i="8"/>
  <c r="L13" i="8"/>
  <c r="L11" i="8"/>
  <c r="L7" i="8"/>
  <c r="K166" i="8"/>
  <c r="K167" i="8"/>
  <c r="K38" i="8"/>
  <c r="K45" i="8"/>
  <c r="K46" i="8"/>
  <c r="K55" i="8"/>
  <c r="K60" i="8"/>
  <c r="K66" i="8"/>
  <c r="K72" i="8"/>
  <c r="K73" i="8"/>
  <c r="K90" i="8"/>
  <c r="K101" i="8"/>
  <c r="K109" i="8"/>
  <c r="K117" i="8"/>
  <c r="K122" i="8"/>
  <c r="K126" i="8"/>
  <c r="K127" i="8"/>
  <c r="K133" i="8"/>
  <c r="K134" i="8"/>
  <c r="K144" i="8"/>
  <c r="K147" i="8"/>
  <c r="K156" i="8"/>
  <c r="K157" i="8"/>
  <c r="K168" i="8"/>
  <c r="K9" i="8"/>
  <c r="K21" i="8"/>
  <c r="K22" i="8"/>
  <c r="K169" i="8"/>
  <c r="I55" i="8"/>
  <c r="I66" i="8"/>
  <c r="L8" i="8"/>
  <c r="I30" i="8"/>
  <c r="I38" i="8"/>
  <c r="I45" i="8"/>
  <c r="I46" i="8"/>
  <c r="I90" i="8"/>
  <c r="I101" i="8"/>
  <c r="I109" i="8"/>
  <c r="I133" i="8"/>
  <c r="I117" i="8"/>
  <c r="I122" i="8"/>
  <c r="I126" i="8"/>
  <c r="I127" i="8"/>
  <c r="I72" i="8"/>
  <c r="I73" i="8"/>
  <c r="I134" i="8"/>
  <c r="I156" i="8"/>
  <c r="I144" i="8"/>
  <c r="I147" i="8"/>
  <c r="I157" i="8"/>
  <c r="I166" i="8"/>
  <c r="I167" i="8"/>
  <c r="I168" i="8"/>
  <c r="I21" i="8"/>
  <c r="I9" i="8"/>
  <c r="I22" i="8"/>
  <c r="I169" i="8"/>
  <c r="I1" i="8"/>
</calcChain>
</file>

<file path=xl/sharedStrings.xml><?xml version="1.0" encoding="utf-8"?>
<sst xmlns="http://schemas.openxmlformats.org/spreadsheetml/2006/main" count="196" uniqueCount="179">
  <si>
    <t>Income</t>
  </si>
  <si>
    <t>Offerings - Envelope</t>
  </si>
  <si>
    <t>Offerings - Plate</t>
  </si>
  <si>
    <t>Expenses</t>
  </si>
  <si>
    <t>Pastor</t>
  </si>
  <si>
    <t>Compensation</t>
  </si>
  <si>
    <t>Housing Allowance</t>
  </si>
  <si>
    <t>Retirement</t>
  </si>
  <si>
    <t>Health Insurance</t>
  </si>
  <si>
    <t>Disability</t>
  </si>
  <si>
    <t>Director of Music</t>
  </si>
  <si>
    <t>Social Security</t>
  </si>
  <si>
    <t>Medicare</t>
  </si>
  <si>
    <t>Federal Income Tax</t>
  </si>
  <si>
    <t>Hawaii Income Tax</t>
  </si>
  <si>
    <t>Support Staff</t>
  </si>
  <si>
    <t>Administrative Assistant</t>
  </si>
  <si>
    <t>Employer Expenses</t>
  </si>
  <si>
    <t>TDI</t>
  </si>
  <si>
    <t>Employer Social Security</t>
  </si>
  <si>
    <t>Employer Medicare</t>
  </si>
  <si>
    <t>Bank Charges</t>
  </si>
  <si>
    <t>Payroll Services</t>
  </si>
  <si>
    <t>Office Supplies</t>
  </si>
  <si>
    <t>Postage</t>
  </si>
  <si>
    <t>Subscriptions</t>
  </si>
  <si>
    <t>Accounting</t>
  </si>
  <si>
    <t>FHB First Mortgage</t>
  </si>
  <si>
    <t>FHB Term Loan</t>
  </si>
  <si>
    <t>Insurance</t>
  </si>
  <si>
    <t>Fidelity Bond</t>
  </si>
  <si>
    <t>Internet Access</t>
  </si>
  <si>
    <t>Copier Lease</t>
  </si>
  <si>
    <t>Telephone</t>
  </si>
  <si>
    <t>Electricity</t>
  </si>
  <si>
    <t>Building Maintenance</t>
  </si>
  <si>
    <t>Janitorial Supplies</t>
  </si>
  <si>
    <t>Janitorial Service</t>
  </si>
  <si>
    <t>Repairs/Maintenance</t>
  </si>
  <si>
    <t>Grounds Maintenance</t>
  </si>
  <si>
    <t>Utilities</t>
  </si>
  <si>
    <t>Landscaping</t>
  </si>
  <si>
    <t>Lawn Service</t>
  </si>
  <si>
    <t>Missions Department</t>
  </si>
  <si>
    <t>CA-NV-HI Conv Assessment</t>
  </si>
  <si>
    <t>CA-NV-HI District Mission</t>
  </si>
  <si>
    <t>Lutheran Mission Council</t>
  </si>
  <si>
    <t>Conferences/Conventions</t>
  </si>
  <si>
    <t>Christian Education</t>
  </si>
  <si>
    <t>Children Sunday School</t>
  </si>
  <si>
    <t>Music</t>
  </si>
  <si>
    <t>Ministry Expense</t>
  </si>
  <si>
    <t>Fellowship</t>
  </si>
  <si>
    <t>Aloha Fund</t>
  </si>
  <si>
    <t>Outreach</t>
  </si>
  <si>
    <t>Worship Care</t>
  </si>
  <si>
    <t>Offering Envelopes</t>
  </si>
  <si>
    <t>Taxes</t>
  </si>
  <si>
    <t>Federal</t>
  </si>
  <si>
    <t>Income Tax</t>
  </si>
  <si>
    <t>General Excise Tax</t>
  </si>
  <si>
    <t>Real Property Tax</t>
  </si>
  <si>
    <t>Total Expenses</t>
  </si>
  <si>
    <t>Aloha Group</t>
  </si>
  <si>
    <t>High School</t>
  </si>
  <si>
    <t>Kaplan</t>
  </si>
  <si>
    <t>Parking Lot</t>
  </si>
  <si>
    <t>Interest</t>
  </si>
  <si>
    <t>Offerings</t>
  </si>
  <si>
    <t>Subtotal Offerings</t>
  </si>
  <si>
    <t>RENTAL INCOME</t>
  </si>
  <si>
    <t>Wilder Ave</t>
  </si>
  <si>
    <t>FACILITIES USE</t>
  </si>
  <si>
    <t>Subtotal Facilities</t>
  </si>
  <si>
    <t>TOTAL INCOME</t>
  </si>
  <si>
    <t>Fixed Expenses</t>
  </si>
  <si>
    <t>Pastoral Staff</t>
  </si>
  <si>
    <t>Pastoral Compensation</t>
  </si>
  <si>
    <t>5061-001</t>
  </si>
  <si>
    <t>5062-002</t>
  </si>
  <si>
    <t>5063-003</t>
  </si>
  <si>
    <t>5064-004</t>
  </si>
  <si>
    <t>Auto Expense Reimb.</t>
  </si>
  <si>
    <t>5066-006</t>
  </si>
  <si>
    <t>5067-007</t>
  </si>
  <si>
    <t>Subtotal Pastor</t>
  </si>
  <si>
    <t>5081-001</t>
  </si>
  <si>
    <t>5082-002</t>
  </si>
  <si>
    <t>5083-003</t>
  </si>
  <si>
    <t>5084-004</t>
  </si>
  <si>
    <t>5086-006</t>
  </si>
  <si>
    <t>Subtotal Pastoral Staff</t>
  </si>
  <si>
    <t>Subtotal Director of Music</t>
  </si>
  <si>
    <t>Staff Salaries</t>
  </si>
  <si>
    <t>Guest/Substitute Pastor</t>
  </si>
  <si>
    <t>Guest/Substitute Organist</t>
  </si>
  <si>
    <t>Subtotal Staff Salaries</t>
  </si>
  <si>
    <t>Workers Comp Insurance</t>
  </si>
  <si>
    <t>Subtotal Employer Expenses</t>
  </si>
  <si>
    <t>Subtotal Support Staff</t>
  </si>
  <si>
    <t>Administrative Expenses</t>
  </si>
  <si>
    <t>Photocopying/Printing</t>
  </si>
  <si>
    <t>Professional</t>
  </si>
  <si>
    <t>Subtotal Iterest</t>
  </si>
  <si>
    <t>University Ave Insurance</t>
  </si>
  <si>
    <t>University Ave Umbrella</t>
  </si>
  <si>
    <t>Wilder Ave Insurance</t>
  </si>
  <si>
    <t>Wilder Ave Umbrella</t>
  </si>
  <si>
    <t>Subtotal Insurance</t>
  </si>
  <si>
    <t>Internet</t>
  </si>
  <si>
    <t>Leased Equipment</t>
  </si>
  <si>
    <t>Subtotal Administrative Expense</t>
  </si>
  <si>
    <t>Building &amp; Grounds</t>
  </si>
  <si>
    <t>Water &amp; Sewage</t>
  </si>
  <si>
    <t>Subtotal Utilities</t>
  </si>
  <si>
    <t>Subtotal Building Maintenance</t>
  </si>
  <si>
    <t>Subtotal Grounds Maintenance</t>
  </si>
  <si>
    <t>Subtotal Building &amp; Grounds</t>
  </si>
  <si>
    <t>Subtotal Fixed Expenses</t>
  </si>
  <si>
    <t>Departments/Committees</t>
  </si>
  <si>
    <t>Subtotal Missions Department</t>
  </si>
  <si>
    <t>Subtotal Christian Education</t>
  </si>
  <si>
    <t>Subtotal Ministry Expense</t>
  </si>
  <si>
    <t>Subtotal Departments/Committees</t>
  </si>
  <si>
    <t>State / County &amp; City</t>
  </si>
  <si>
    <t>Subtotal State / City &amp; County</t>
  </si>
  <si>
    <t>Subtotal Taxes</t>
  </si>
  <si>
    <t>Total Budgeted Income / Expense</t>
  </si>
  <si>
    <t>Office Equipment</t>
  </si>
  <si>
    <t>Telephone Lease</t>
  </si>
  <si>
    <t>Waste</t>
  </si>
  <si>
    <t>Website</t>
  </si>
  <si>
    <t>Email</t>
  </si>
  <si>
    <t>Advertising</t>
  </si>
  <si>
    <t>Other Advertising</t>
  </si>
  <si>
    <t>Community Life</t>
  </si>
  <si>
    <t>Other</t>
  </si>
  <si>
    <t>Pac 5</t>
  </si>
  <si>
    <t>Umbrella</t>
  </si>
  <si>
    <t>Property Insurance</t>
  </si>
  <si>
    <t>General Liability</t>
  </si>
  <si>
    <t>Moving/Travel</t>
  </si>
  <si>
    <t>2018-2019</t>
  </si>
  <si>
    <t>Vehicles</t>
  </si>
  <si>
    <t>Auto Insurance</t>
  </si>
  <si>
    <t>Tags/License</t>
  </si>
  <si>
    <t>Vehicle Maintenance</t>
  </si>
  <si>
    <t>Vehicle Purchase</t>
  </si>
  <si>
    <t>Subtotal Vehicles</t>
  </si>
  <si>
    <t>Subtotal Admin A</t>
  </si>
  <si>
    <t>DNO (Officer Ins)</t>
  </si>
  <si>
    <t>CA-NV-HI Interim Ministry</t>
  </si>
  <si>
    <t>Missions (TBD)</t>
  </si>
  <si>
    <t>Approved</t>
  </si>
  <si>
    <t>Mid-Year</t>
  </si>
  <si>
    <t>Percent</t>
  </si>
  <si>
    <t>(6th month)</t>
  </si>
  <si>
    <t>Storage - Voyager</t>
  </si>
  <si>
    <t>Wed Night Sobriety</t>
  </si>
  <si>
    <t>Janitor/Custodian</t>
  </si>
  <si>
    <t>Subtotal Janitor/Custodian</t>
  </si>
  <si>
    <t>Dollar Amount</t>
  </si>
  <si>
    <t>As of Date:</t>
  </si>
  <si>
    <t>Cash in the Bank:</t>
  </si>
  <si>
    <t>Unrestricted Monies:</t>
  </si>
  <si>
    <t>Restricted Monies:</t>
  </si>
  <si>
    <t>Unavailable Monies:</t>
  </si>
  <si>
    <t>Uncashed Checks:</t>
  </si>
  <si>
    <t>Total:</t>
  </si>
  <si>
    <t>FHB Mortgage Principal:</t>
  </si>
  <si>
    <t>FHB Loan Principal:</t>
  </si>
  <si>
    <t>Total Estimated Principal:</t>
  </si>
  <si>
    <t>Updated Budget Balance:</t>
  </si>
  <si>
    <t>Rautenberg Foundation Estimate:</t>
  </si>
  <si>
    <t>TDI from LHS:</t>
  </si>
  <si>
    <t>Unrestricted Monies as of May 31st, 2018:</t>
  </si>
  <si>
    <t>Large Expenses Above the Budget</t>
  </si>
  <si>
    <t xml:space="preserve">July: </t>
  </si>
  <si>
    <t>December: Wilder Spalling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</si>
</sst>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8040"/>
      <name val="Calibri"/>
      <scheme val="minor"/>
    </font>
    <font>
      <b/>
      <sz val="12"/>
      <color rgb="FF008040"/>
      <name val="Calibri"/>
      <scheme val="minor"/>
    </font>
    <font>
      <b/>
      <sz val="12"/>
      <color rgb="FF008000"/>
      <name val="Calibri"/>
      <scheme val="minor"/>
    </font>
    <font>
      <sz val="12"/>
      <color rgb="FF008000"/>
      <name val="Calibri"/>
      <scheme val="minor"/>
    </font>
    <font>
      <b/>
      <sz val="12"/>
      <color theme="1"/>
      <name val="Calibri"/>
      <family val="2"/>
      <scheme val="minor"/>
    </font>
    <font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10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43" fontId="3" fillId="0" borderId="0" xfId="0" applyNumberFormat="1" applyFont="1"/>
    <xf numFmtId="43" fontId="3" fillId="0" borderId="1" xfId="0" applyNumberFormat="1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43" fontId="5" fillId="0" borderId="4" xfId="0" applyNumberFormat="1" applyFont="1" applyBorder="1"/>
    <xf numFmtId="43" fontId="3" fillId="0" borderId="0" xfId="0" applyNumberFormat="1" applyFont="1" applyBorder="1"/>
    <xf numFmtId="43" fontId="3" fillId="2" borderId="0" xfId="0" applyNumberFormat="1" applyFont="1" applyFill="1"/>
    <xf numFmtId="43" fontId="3" fillId="2" borderId="2" xfId="0" applyNumberFormat="1" applyFont="1" applyFill="1" applyBorder="1"/>
    <xf numFmtId="43" fontId="4" fillId="2" borderId="0" xfId="0" applyNumberFormat="1" applyFont="1" applyFill="1"/>
    <xf numFmtId="43" fontId="3" fillId="2" borderId="3" xfId="0" applyNumberFormat="1" applyFont="1" applyFill="1" applyBorder="1"/>
    <xf numFmtId="43" fontId="3" fillId="0" borderId="0" xfId="0" applyNumberFormat="1" applyFont="1" applyFill="1" applyBorder="1"/>
    <xf numFmtId="43" fontId="6" fillId="0" borderId="0" xfId="0" applyNumberFormat="1" applyFont="1"/>
    <xf numFmtId="43" fontId="6" fillId="0" borderId="1" xfId="0" applyNumberFormat="1" applyFont="1" applyBorder="1"/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43" fontId="3" fillId="0" borderId="0" xfId="0" applyNumberFormat="1" applyFont="1" applyFill="1"/>
    <xf numFmtId="43" fontId="4" fillId="0" borderId="0" xfId="0" applyNumberFormat="1" applyFont="1" applyFill="1"/>
    <xf numFmtId="43" fontId="6" fillId="2" borderId="0" xfId="0" applyNumberFormat="1" applyFont="1" applyFill="1"/>
    <xf numFmtId="43" fontId="7" fillId="0" borderId="0" xfId="0" applyNumberFormat="1" applyFont="1"/>
    <xf numFmtId="10" fontId="7" fillId="0" borderId="0" xfId="0" applyNumberFormat="1" applyFont="1" applyAlignment="1">
      <alignment horizontal="center"/>
    </xf>
    <xf numFmtId="43" fontId="7" fillId="0" borderId="0" xfId="0" applyNumberFormat="1" applyFont="1" applyAlignment="1">
      <alignment horizontal="center"/>
    </xf>
    <xf numFmtId="43" fontId="0" fillId="0" borderId="0" xfId="0" applyNumberFormat="1" applyAlignment="1">
      <alignment horizontal="center"/>
    </xf>
    <xf numFmtId="43" fontId="0" fillId="0" borderId="0" xfId="0" applyNumberFormat="1"/>
    <xf numFmtId="10" fontId="0" fillId="0" borderId="0" xfId="0" applyNumberFormat="1"/>
    <xf numFmtId="43" fontId="6" fillId="0" borderId="0" xfId="0" applyNumberFormat="1" applyFont="1" applyFill="1"/>
    <xf numFmtId="43" fontId="0" fillId="0" borderId="0" xfId="0" applyNumberFormat="1" applyFill="1"/>
    <xf numFmtId="10" fontId="0" fillId="0" borderId="0" xfId="0" applyNumberFormat="1" applyFill="1"/>
    <xf numFmtId="43" fontId="0" fillId="0" borderId="1" xfId="0" applyNumberFormat="1" applyBorder="1"/>
    <xf numFmtId="43" fontId="0" fillId="0" borderId="1" xfId="0" applyNumberFormat="1" applyFill="1" applyBorder="1"/>
    <xf numFmtId="43" fontId="0" fillId="2" borderId="0" xfId="0" applyNumberFormat="1" applyFill="1"/>
    <xf numFmtId="0" fontId="0" fillId="0" borderId="1" xfId="0" applyBorder="1"/>
    <xf numFmtId="0" fontId="0" fillId="0" borderId="0" xfId="0" applyAlignment="1">
      <alignment horizontal="left"/>
    </xf>
    <xf numFmtId="15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5" fontId="0" fillId="0" borderId="0" xfId="0" applyNumberFormat="1" applyBorder="1" applyAlignment="1">
      <alignment horizontal="center"/>
    </xf>
    <xf numFmtId="43" fontId="0" fillId="0" borderId="0" xfId="0" applyNumberFormat="1" applyBorder="1"/>
    <xf numFmtId="43" fontId="0" fillId="3" borderId="0" xfId="0" applyNumberFormat="1" applyFill="1"/>
    <xf numFmtId="43" fontId="8" fillId="0" borderId="0" xfId="0" applyNumberFormat="1" applyFont="1"/>
  </cellXfs>
  <cellStyles count="10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196"/>
  <sheetViews>
    <sheetView tabSelected="1" workbookViewId="0">
      <pane ySplit="4" topLeftCell="A167" activePane="bottomLeft" state="frozen"/>
      <selection pane="bottomLeft" activeCell="L169" sqref="L169"/>
    </sheetView>
  </sheetViews>
  <sheetFormatPr baseColWidth="10" defaultColWidth="11" defaultRowHeight="15" x14ac:dyDescent="0"/>
  <cols>
    <col min="1" max="6" width="2.83203125" customWidth="1"/>
    <col min="7" max="7" width="16.1640625" customWidth="1"/>
    <col min="8" max="8" width="9" bestFit="1" customWidth="1"/>
    <col min="9" max="9" width="11.83203125" customWidth="1"/>
    <col min="10" max="10" width="1.83203125" style="15" customWidth="1"/>
    <col min="11" max="11" width="11.5" bestFit="1" customWidth="1"/>
    <col min="13" max="13" width="13.1640625" bestFit="1" customWidth="1"/>
  </cols>
  <sheetData>
    <row r="1" spans="1:13" ht="16" thickBot="1">
      <c r="H1" s="5" t="s">
        <v>127</v>
      </c>
      <c r="I1" s="6">
        <f>I169</f>
        <v>6668.7900000000373</v>
      </c>
      <c r="J1" s="6"/>
      <c r="K1" s="6">
        <f>K169</f>
        <v>53053</v>
      </c>
    </row>
    <row r="2" spans="1:13" ht="16" thickTop="1">
      <c r="K2" s="21" t="s">
        <v>156</v>
      </c>
      <c r="L2" s="22">
        <v>0.5</v>
      </c>
    </row>
    <row r="3" spans="1:13">
      <c r="I3" s="4" t="s">
        <v>153</v>
      </c>
      <c r="J3" s="16"/>
      <c r="K3" s="23" t="s">
        <v>154</v>
      </c>
      <c r="L3" s="24" t="s">
        <v>155</v>
      </c>
    </row>
    <row r="4" spans="1:13">
      <c r="I4" s="4" t="s">
        <v>142</v>
      </c>
      <c r="J4" s="16"/>
      <c r="K4" s="23" t="s">
        <v>142</v>
      </c>
      <c r="L4" s="24" t="s">
        <v>142</v>
      </c>
      <c r="M4" t="s">
        <v>161</v>
      </c>
    </row>
    <row r="5" spans="1:13">
      <c r="A5" t="s">
        <v>0</v>
      </c>
      <c r="H5">
        <v>4000</v>
      </c>
      <c r="I5" s="1"/>
      <c r="J5" s="17"/>
      <c r="K5" s="25"/>
      <c r="L5" s="26"/>
    </row>
    <row r="6" spans="1:13">
      <c r="B6" t="s">
        <v>68</v>
      </c>
      <c r="H6">
        <v>4010</v>
      </c>
      <c r="I6" s="1"/>
      <c r="J6" s="17"/>
      <c r="K6" s="25"/>
      <c r="L6" s="26"/>
    </row>
    <row r="7" spans="1:13">
      <c r="C7" t="s">
        <v>1</v>
      </c>
      <c r="H7">
        <v>4011</v>
      </c>
      <c r="I7" s="2">
        <v>120000</v>
      </c>
      <c r="J7" s="18"/>
      <c r="K7" s="25">
        <v>61196</v>
      </c>
      <c r="L7" s="26">
        <f>K7/I7</f>
        <v>0.50996666666666668</v>
      </c>
      <c r="M7" s="25">
        <f>(L7-L$2)*I7</f>
        <v>1196.0000000000016</v>
      </c>
    </row>
    <row r="8" spans="1:13">
      <c r="C8" t="s">
        <v>2</v>
      </c>
      <c r="H8">
        <v>4012</v>
      </c>
      <c r="I8" s="3">
        <v>5000</v>
      </c>
      <c r="J8" s="12"/>
      <c r="K8" s="30">
        <v>3423</v>
      </c>
      <c r="L8" s="26">
        <f>K8/I8</f>
        <v>0.68459999999999999</v>
      </c>
      <c r="M8" s="30">
        <f>(L8-L$2)*I8</f>
        <v>922.99999999999989</v>
      </c>
    </row>
    <row r="9" spans="1:13">
      <c r="C9" t="s">
        <v>69</v>
      </c>
      <c r="H9">
        <v>4010</v>
      </c>
      <c r="I9" s="8">
        <f>SUM(I7:I8)</f>
        <v>125000</v>
      </c>
      <c r="J9" s="18"/>
      <c r="K9" s="8">
        <f>SUM(K7:K8)</f>
        <v>64619</v>
      </c>
      <c r="L9" s="26"/>
      <c r="M9" s="8">
        <f>SUM(M7:M8)</f>
        <v>2119.0000000000014</v>
      </c>
    </row>
    <row r="10" spans="1:13">
      <c r="B10" t="s">
        <v>70</v>
      </c>
      <c r="H10">
        <v>4025</v>
      </c>
      <c r="I10" s="2"/>
      <c r="J10" s="18"/>
      <c r="K10" s="25"/>
      <c r="L10" s="26"/>
    </row>
    <row r="11" spans="1:13">
      <c r="C11" t="s">
        <v>71</v>
      </c>
      <c r="H11">
        <v>4026</v>
      </c>
      <c r="I11" s="2">
        <v>250257</v>
      </c>
      <c r="J11" s="18"/>
      <c r="K11" s="25">
        <v>139267</v>
      </c>
      <c r="L11" s="26">
        <f>K11/I11</f>
        <v>0.55649592219198663</v>
      </c>
      <c r="M11" s="25">
        <f>(L11-L$2)*I11</f>
        <v>14138.499999999996</v>
      </c>
    </row>
    <row r="12" spans="1:13">
      <c r="B12" t="s">
        <v>72</v>
      </c>
      <c r="H12">
        <v>4050</v>
      </c>
      <c r="I12" s="2"/>
      <c r="J12" s="18"/>
      <c r="K12" s="25"/>
      <c r="L12" s="26"/>
    </row>
    <row r="13" spans="1:13">
      <c r="C13" t="s">
        <v>63</v>
      </c>
      <c r="H13">
        <v>4051</v>
      </c>
      <c r="I13" s="2">
        <v>120</v>
      </c>
      <c r="J13" s="18"/>
      <c r="K13" s="25">
        <v>60</v>
      </c>
      <c r="L13" s="26">
        <f>K13/I13</f>
        <v>0.5</v>
      </c>
      <c r="M13" s="25">
        <f>(L13-L$2)*I13</f>
        <v>0</v>
      </c>
    </row>
    <row r="14" spans="1:13">
      <c r="C14" t="s">
        <v>64</v>
      </c>
      <c r="H14">
        <v>4052</v>
      </c>
      <c r="I14" s="2">
        <v>0</v>
      </c>
      <c r="J14" s="18"/>
      <c r="K14" s="25"/>
      <c r="L14" s="26"/>
    </row>
    <row r="15" spans="1:13">
      <c r="C15" t="s">
        <v>65</v>
      </c>
      <c r="H15">
        <v>4053</v>
      </c>
      <c r="I15" s="2">
        <v>7000</v>
      </c>
      <c r="J15" s="18"/>
      <c r="K15" s="25">
        <v>4620</v>
      </c>
      <c r="L15" s="26">
        <f>K15/I15</f>
        <v>0.66</v>
      </c>
      <c r="M15" s="25">
        <f>(L15-L$2)*I15</f>
        <v>1120.0000000000002</v>
      </c>
    </row>
    <row r="16" spans="1:13">
      <c r="C16" t="s">
        <v>66</v>
      </c>
      <c r="H16">
        <v>4055</v>
      </c>
      <c r="I16" s="2">
        <v>12000</v>
      </c>
      <c r="J16" s="18"/>
      <c r="K16" s="25">
        <v>6125</v>
      </c>
      <c r="L16" s="26">
        <f>K16/I16</f>
        <v>0.51041666666666663</v>
      </c>
      <c r="M16" s="25">
        <f>(L16-L$2)*I16</f>
        <v>124.99999999999956</v>
      </c>
    </row>
    <row r="17" spans="1:13">
      <c r="C17" t="s">
        <v>136</v>
      </c>
      <c r="H17">
        <v>4056</v>
      </c>
      <c r="I17" s="2">
        <v>3000</v>
      </c>
      <c r="J17" s="18"/>
      <c r="K17" s="25">
        <v>2003</v>
      </c>
      <c r="L17" s="26">
        <f>K17/I17</f>
        <v>0.66766666666666663</v>
      </c>
      <c r="M17" s="25">
        <f>(L17-L$2)*I17</f>
        <v>502.99999999999989</v>
      </c>
    </row>
    <row r="18" spans="1:13">
      <c r="C18" t="s">
        <v>137</v>
      </c>
      <c r="H18">
        <v>4057</v>
      </c>
      <c r="I18" s="2">
        <v>9500</v>
      </c>
      <c r="J18" s="18"/>
      <c r="K18" s="25">
        <v>5608</v>
      </c>
      <c r="L18" s="26">
        <f>K18/I18</f>
        <v>0.59031578947368424</v>
      </c>
      <c r="M18" s="25">
        <f>(L18-L$2)*I18</f>
        <v>858.00000000000023</v>
      </c>
    </row>
    <row r="19" spans="1:13">
      <c r="C19" t="s">
        <v>157</v>
      </c>
      <c r="I19" s="2"/>
      <c r="J19" s="18"/>
      <c r="K19" s="25">
        <v>600</v>
      </c>
      <c r="L19" s="26"/>
      <c r="M19" s="25">
        <v>600</v>
      </c>
    </row>
    <row r="20" spans="1:13">
      <c r="C20" t="s">
        <v>158</v>
      </c>
      <c r="I20" s="2"/>
      <c r="J20" s="18"/>
      <c r="K20" s="30">
        <v>150</v>
      </c>
      <c r="L20" s="26"/>
      <c r="M20">
        <v>150</v>
      </c>
    </row>
    <row r="21" spans="1:13">
      <c r="C21" t="s">
        <v>73</v>
      </c>
      <c r="H21">
        <v>4050</v>
      </c>
      <c r="I21" s="9">
        <f>SUM(I13:I20)</f>
        <v>31620</v>
      </c>
      <c r="J21" s="12"/>
      <c r="K21" s="9">
        <f>SUM(K13:K20)</f>
        <v>19166</v>
      </c>
      <c r="L21" s="26"/>
      <c r="M21" s="9">
        <f>SUM(M13:M20)</f>
        <v>3356</v>
      </c>
    </row>
    <row r="22" spans="1:13">
      <c r="B22" t="s">
        <v>74</v>
      </c>
      <c r="I22" s="8">
        <f>I9+I11+I21</f>
        <v>406877</v>
      </c>
      <c r="J22" s="18"/>
      <c r="K22" s="8">
        <f>K9+K11+K21</f>
        <v>223052</v>
      </c>
      <c r="L22" s="26"/>
      <c r="M22" s="8">
        <f>M9+M11+M21</f>
        <v>19613.5</v>
      </c>
    </row>
    <row r="23" spans="1:13">
      <c r="I23" s="2"/>
      <c r="J23" s="18"/>
      <c r="K23" s="25"/>
      <c r="L23" s="26"/>
    </row>
    <row r="24" spans="1:13">
      <c r="A24" t="s">
        <v>3</v>
      </c>
      <c r="H24">
        <v>5000</v>
      </c>
      <c r="I24" s="2"/>
      <c r="J24" s="18"/>
      <c r="K24" s="25"/>
      <c r="L24" s="26"/>
    </row>
    <row r="25" spans="1:13">
      <c r="B25" t="s">
        <v>75</v>
      </c>
      <c r="H25">
        <v>5010</v>
      </c>
      <c r="I25" s="2"/>
      <c r="J25" s="18"/>
      <c r="K25" s="25"/>
      <c r="L25" s="26"/>
    </row>
    <row r="26" spans="1:13">
      <c r="C26" t="s">
        <v>76</v>
      </c>
      <c r="H26">
        <v>5050</v>
      </c>
      <c r="I26" s="2"/>
      <c r="J26" s="18"/>
      <c r="K26" s="25"/>
      <c r="L26" s="26"/>
    </row>
    <row r="27" spans="1:13">
      <c r="D27" t="s">
        <v>77</v>
      </c>
      <c r="H27">
        <v>5055</v>
      </c>
      <c r="I27" s="2"/>
      <c r="J27" s="18"/>
      <c r="K27" s="25"/>
      <c r="L27" s="26"/>
    </row>
    <row r="28" spans="1:13">
      <c r="E28" t="s">
        <v>4</v>
      </c>
      <c r="H28">
        <v>5060</v>
      </c>
      <c r="I28" s="2"/>
      <c r="J28" s="18"/>
      <c r="K28" s="25"/>
      <c r="L28" s="26"/>
    </row>
    <row r="29" spans="1:13">
      <c r="F29" t="s">
        <v>5</v>
      </c>
      <c r="H29" t="s">
        <v>78</v>
      </c>
      <c r="I29" s="2">
        <v>55000</v>
      </c>
      <c r="J29" s="18"/>
      <c r="K29" s="25">
        <v>19699</v>
      </c>
      <c r="L29" s="26">
        <f>K29/I29</f>
        <v>0.35816363636363635</v>
      </c>
      <c r="M29" s="25">
        <f>(L$2-L29)*I29</f>
        <v>7801.0000000000009</v>
      </c>
    </row>
    <row r="30" spans="1:13">
      <c r="F30" t="s">
        <v>6</v>
      </c>
      <c r="H30" t="s">
        <v>79</v>
      </c>
      <c r="I30" s="2">
        <f>117600-55000</f>
        <v>62600</v>
      </c>
      <c r="J30" s="18"/>
      <c r="K30" s="25">
        <v>11743</v>
      </c>
      <c r="L30" s="26">
        <f>K30/I30</f>
        <v>0.18758785942492012</v>
      </c>
      <c r="M30" s="25">
        <f>(L$2-L30)*I30</f>
        <v>19557</v>
      </c>
    </row>
    <row r="31" spans="1:13">
      <c r="F31" t="s">
        <v>7</v>
      </c>
      <c r="H31" t="s">
        <v>80</v>
      </c>
      <c r="I31" s="2">
        <v>11000</v>
      </c>
      <c r="J31" s="18"/>
      <c r="K31" s="25">
        <v>3062</v>
      </c>
      <c r="L31" s="26">
        <f>K31/I31</f>
        <v>0.27836363636363637</v>
      </c>
      <c r="M31" s="25">
        <f>(L$2-L31)*I31</f>
        <v>2438</v>
      </c>
    </row>
    <row r="32" spans="1:13">
      <c r="F32" t="s">
        <v>8</v>
      </c>
      <c r="H32" t="s">
        <v>81</v>
      </c>
      <c r="I32" s="2">
        <v>9500</v>
      </c>
      <c r="J32" s="18"/>
      <c r="K32" s="25">
        <v>4027</v>
      </c>
      <c r="L32" s="26">
        <f>K32/I32</f>
        <v>0.42389473684210527</v>
      </c>
      <c r="M32" s="25">
        <f>(L$2-L32)*I32</f>
        <v>723</v>
      </c>
    </row>
    <row r="33" spans="3:13">
      <c r="F33" t="s">
        <v>82</v>
      </c>
      <c r="H33" t="s">
        <v>83</v>
      </c>
      <c r="I33" s="2">
        <v>500</v>
      </c>
      <c r="J33" s="18"/>
      <c r="K33" s="25"/>
      <c r="L33" s="26">
        <f>K33/I33</f>
        <v>0</v>
      </c>
      <c r="M33" s="25">
        <f>(L$2-L33)*I33</f>
        <v>250</v>
      </c>
    </row>
    <row r="34" spans="3:13">
      <c r="F34" t="s">
        <v>9</v>
      </c>
      <c r="H34" t="s">
        <v>84</v>
      </c>
      <c r="I34" s="7">
        <v>2500</v>
      </c>
      <c r="J34" s="12"/>
      <c r="K34" s="25">
        <v>515</v>
      </c>
      <c r="L34" s="26">
        <f>K34/I34</f>
        <v>0.20599999999999999</v>
      </c>
      <c r="M34" s="25">
        <f>(L$2-L34)*I34</f>
        <v>735.00000000000011</v>
      </c>
    </row>
    <row r="35" spans="3:13">
      <c r="F35" t="s">
        <v>141</v>
      </c>
      <c r="H35">
        <v>5069</v>
      </c>
      <c r="I35" s="7">
        <v>10000</v>
      </c>
      <c r="J35" s="12"/>
      <c r="K35" s="25">
        <v>16559</v>
      </c>
      <c r="L35" s="26">
        <f>K35/I35</f>
        <v>1.6558999999999999</v>
      </c>
      <c r="M35" s="25">
        <v>-6559</v>
      </c>
    </row>
    <row r="36" spans="3:13">
      <c r="F36" t="s">
        <v>13</v>
      </c>
      <c r="I36" s="7"/>
      <c r="J36" s="12"/>
      <c r="K36" s="25">
        <v>343</v>
      </c>
      <c r="L36" s="26"/>
      <c r="M36" s="25">
        <v>-343</v>
      </c>
    </row>
    <row r="37" spans="3:13">
      <c r="F37" t="s">
        <v>14</v>
      </c>
      <c r="I37" s="3"/>
      <c r="J37" s="12"/>
      <c r="K37" s="30">
        <v>182</v>
      </c>
      <c r="L37" s="26"/>
      <c r="M37" s="33">
        <v>-182</v>
      </c>
    </row>
    <row r="38" spans="3:13">
      <c r="F38" t="s">
        <v>85</v>
      </c>
      <c r="H38">
        <v>5060</v>
      </c>
      <c r="I38" s="8">
        <f>SUM(I29:I37)</f>
        <v>151100</v>
      </c>
      <c r="J38" s="18"/>
      <c r="K38" s="8">
        <f>SUM(K29:K37)</f>
        <v>56130</v>
      </c>
      <c r="L38" s="26"/>
      <c r="M38" s="8">
        <f>SUM(M29:M37)</f>
        <v>24420</v>
      </c>
    </row>
    <row r="39" spans="3:13">
      <c r="E39" t="s">
        <v>10</v>
      </c>
      <c r="H39">
        <v>5080</v>
      </c>
      <c r="I39" s="2"/>
      <c r="J39" s="18"/>
      <c r="K39" s="25"/>
      <c r="L39" s="26"/>
    </row>
    <row r="40" spans="3:13">
      <c r="F40" t="s">
        <v>5</v>
      </c>
      <c r="H40" t="s">
        <v>86</v>
      </c>
      <c r="I40" s="2">
        <v>13782</v>
      </c>
      <c r="J40" s="18"/>
      <c r="K40" s="25">
        <v>7002</v>
      </c>
      <c r="L40" s="26">
        <f>K40/I40</f>
        <v>0.50805398345668262</v>
      </c>
      <c r="M40" s="25">
        <f>(L$2-L40)*I40</f>
        <v>-110.99999999999991</v>
      </c>
    </row>
    <row r="41" spans="3:13">
      <c r="F41" t="s">
        <v>11</v>
      </c>
      <c r="H41" t="s">
        <v>87</v>
      </c>
      <c r="I41" s="2">
        <v>1056</v>
      </c>
      <c r="J41" s="18"/>
      <c r="K41" s="25">
        <v>528</v>
      </c>
      <c r="L41" s="26">
        <f>K41/I41</f>
        <v>0.5</v>
      </c>
      <c r="M41" s="25">
        <f>(L$2-L41)*I41</f>
        <v>0</v>
      </c>
    </row>
    <row r="42" spans="3:13">
      <c r="F42" t="s">
        <v>12</v>
      </c>
      <c r="H42" t="s">
        <v>88</v>
      </c>
      <c r="I42" s="2">
        <v>275</v>
      </c>
      <c r="J42" s="18"/>
      <c r="K42" s="25">
        <v>126</v>
      </c>
      <c r="L42" s="26">
        <f>K42/I42</f>
        <v>0.45818181818181819</v>
      </c>
      <c r="M42" s="25">
        <f>(L$2-L42)*I42</f>
        <v>11.499999999999998</v>
      </c>
    </row>
    <row r="43" spans="3:13">
      <c r="F43" t="s">
        <v>13</v>
      </c>
      <c r="H43" t="s">
        <v>89</v>
      </c>
      <c r="I43" s="2">
        <v>1150</v>
      </c>
      <c r="J43" s="18"/>
      <c r="K43" s="25">
        <v>456</v>
      </c>
      <c r="L43" s="26">
        <f>K43/I43</f>
        <v>0.39652173913043476</v>
      </c>
      <c r="M43" s="25">
        <f>(L$2-L43)*I43</f>
        <v>119.00000000000003</v>
      </c>
    </row>
    <row r="44" spans="3:13">
      <c r="F44" t="s">
        <v>14</v>
      </c>
      <c r="H44" t="s">
        <v>90</v>
      </c>
      <c r="I44" s="2">
        <v>900</v>
      </c>
      <c r="J44" s="18"/>
      <c r="K44" s="30">
        <v>390</v>
      </c>
      <c r="L44" s="26">
        <f>K44/I44</f>
        <v>0.43333333333333335</v>
      </c>
      <c r="M44" s="25">
        <f>(L$2-L44)*I44</f>
        <v>59.999999999999986</v>
      </c>
    </row>
    <row r="45" spans="3:13">
      <c r="F45" t="s">
        <v>92</v>
      </c>
      <c r="H45">
        <v>5080</v>
      </c>
      <c r="I45" s="9">
        <f>SUM(I40:I44)</f>
        <v>17163</v>
      </c>
      <c r="J45" s="12"/>
      <c r="K45" s="9">
        <f>SUM(K40:K44)</f>
        <v>8502</v>
      </c>
      <c r="L45" s="26"/>
      <c r="M45" s="9">
        <f>SUM(M40:M44)</f>
        <v>79.500000000000099</v>
      </c>
    </row>
    <row r="46" spans="3:13">
      <c r="D46" t="s">
        <v>91</v>
      </c>
      <c r="H46">
        <v>5050</v>
      </c>
      <c r="I46" s="8">
        <f>I38+I45</f>
        <v>168263</v>
      </c>
      <c r="J46" s="18"/>
      <c r="K46" s="8">
        <f>K38+K45</f>
        <v>64632</v>
      </c>
      <c r="L46" s="26"/>
      <c r="M46" s="8">
        <f>M38+M45</f>
        <v>24499.5</v>
      </c>
    </row>
    <row r="47" spans="3:13">
      <c r="I47" s="2"/>
      <c r="J47" s="18"/>
      <c r="K47" s="25"/>
      <c r="L47" s="26"/>
    </row>
    <row r="48" spans="3:13">
      <c r="C48" t="s">
        <v>15</v>
      </c>
      <c r="H48">
        <v>5150</v>
      </c>
      <c r="I48" s="2"/>
      <c r="J48" s="18"/>
      <c r="K48" s="25"/>
      <c r="L48" s="26"/>
    </row>
    <row r="49" spans="4:13">
      <c r="D49" t="s">
        <v>93</v>
      </c>
      <c r="H49">
        <v>5151</v>
      </c>
      <c r="I49" s="2"/>
      <c r="J49" s="18"/>
      <c r="K49" s="25"/>
      <c r="L49" s="26"/>
    </row>
    <row r="50" spans="4:13">
      <c r="E50" t="s">
        <v>16</v>
      </c>
      <c r="H50">
        <v>5165</v>
      </c>
      <c r="I50" s="2">
        <v>17256</v>
      </c>
      <c r="J50" s="18"/>
      <c r="K50" s="25">
        <v>8850</v>
      </c>
      <c r="L50" s="26">
        <f>K50/I50</f>
        <v>0.51286509040333794</v>
      </c>
      <c r="M50" s="25">
        <f>(L$2-L50)*I50</f>
        <v>-221.99999999999952</v>
      </c>
    </row>
    <row r="51" spans="4:13">
      <c r="F51" t="s">
        <v>11</v>
      </c>
      <c r="I51" s="13">
        <v>1250</v>
      </c>
      <c r="J51" s="18"/>
      <c r="K51" s="25">
        <v>635</v>
      </c>
      <c r="L51" s="26">
        <f>K51/I51</f>
        <v>0.50800000000000001</v>
      </c>
      <c r="M51" s="25">
        <f>(L$2-L51)*I51</f>
        <v>-10.000000000000009</v>
      </c>
    </row>
    <row r="52" spans="4:13">
      <c r="F52" t="s">
        <v>12</v>
      </c>
      <c r="I52" s="13">
        <v>300</v>
      </c>
      <c r="J52" s="18"/>
      <c r="K52" s="25">
        <v>149</v>
      </c>
      <c r="L52" s="26">
        <f>K52/I52</f>
        <v>0.49666666666666665</v>
      </c>
      <c r="M52" s="25">
        <f>(L$2-L52)*I52</f>
        <v>1.0000000000000064</v>
      </c>
    </row>
    <row r="53" spans="4:13">
      <c r="F53" t="s">
        <v>13</v>
      </c>
      <c r="I53" s="13">
        <v>650</v>
      </c>
      <c r="J53" s="18"/>
      <c r="K53" s="25">
        <v>240</v>
      </c>
      <c r="L53" s="26">
        <f>K53/I53</f>
        <v>0.36923076923076925</v>
      </c>
      <c r="M53" s="25">
        <f>(L$2-L53)*I53</f>
        <v>84.999999999999986</v>
      </c>
    </row>
    <row r="54" spans="4:13">
      <c r="F54" t="s">
        <v>14</v>
      </c>
      <c r="I54" s="14">
        <v>650</v>
      </c>
      <c r="J54" s="18"/>
      <c r="K54" s="30">
        <v>385</v>
      </c>
      <c r="L54" s="26">
        <f>K54/I54</f>
        <v>0.59230769230769231</v>
      </c>
      <c r="M54" s="30">
        <f>(L$2-L54)*I54</f>
        <v>-60</v>
      </c>
    </row>
    <row r="55" spans="4:13">
      <c r="E55" t="s">
        <v>149</v>
      </c>
      <c r="I55" s="20">
        <f>SUM(I50:I54)</f>
        <v>20106</v>
      </c>
      <c r="J55" s="18"/>
      <c r="K55" s="20">
        <f>SUM(K50:K54)</f>
        <v>10259</v>
      </c>
      <c r="L55" s="26"/>
      <c r="M55" s="20">
        <f>SUM(M50:M54)</f>
        <v>-205.99999999999955</v>
      </c>
    </row>
    <row r="56" spans="4:13" s="15" customFormat="1">
      <c r="E56" s="15" t="s">
        <v>159</v>
      </c>
      <c r="I56" s="27"/>
      <c r="J56" s="18"/>
      <c r="K56" s="28">
        <v>271</v>
      </c>
      <c r="L56" s="26"/>
      <c r="M56" s="25">
        <f>-K56</f>
        <v>-271</v>
      </c>
    </row>
    <row r="57" spans="4:13" s="15" customFormat="1">
      <c r="F57" s="15" t="s">
        <v>11</v>
      </c>
      <c r="I57" s="27"/>
      <c r="J57" s="18"/>
      <c r="K57" s="28">
        <v>19</v>
      </c>
      <c r="L57" s="29"/>
      <c r="M57" s="25">
        <f t="shared" ref="M57:M59" si="0">-K57</f>
        <v>-19</v>
      </c>
    </row>
    <row r="58" spans="4:13" s="15" customFormat="1">
      <c r="F58" s="15" t="s">
        <v>12</v>
      </c>
      <c r="I58" s="27"/>
      <c r="J58" s="18"/>
      <c r="K58" s="28">
        <v>4</v>
      </c>
      <c r="L58" s="29"/>
      <c r="M58" s="25">
        <f t="shared" si="0"/>
        <v>-4</v>
      </c>
    </row>
    <row r="59" spans="4:13" s="15" customFormat="1">
      <c r="F59" s="15" t="s">
        <v>14</v>
      </c>
      <c r="I59" s="27"/>
      <c r="J59" s="18"/>
      <c r="K59" s="31">
        <v>6</v>
      </c>
      <c r="L59" s="29"/>
      <c r="M59" s="30">
        <f t="shared" si="0"/>
        <v>-6</v>
      </c>
    </row>
    <row r="60" spans="4:13" s="15" customFormat="1">
      <c r="E60" s="15" t="s">
        <v>160</v>
      </c>
      <c r="I60" s="27"/>
      <c r="J60" s="18"/>
      <c r="K60" s="32">
        <f>SUM(K56:K59)</f>
        <v>300</v>
      </c>
      <c r="L60" s="29"/>
      <c r="M60" s="32">
        <f>SUM(M56:M59)</f>
        <v>-300</v>
      </c>
    </row>
    <row r="61" spans="4:13" s="15" customFormat="1">
      <c r="I61" s="27"/>
      <c r="J61" s="18"/>
      <c r="K61" s="28"/>
      <c r="L61" s="29"/>
    </row>
    <row r="62" spans="4:13">
      <c r="I62" s="27"/>
      <c r="J62" s="18"/>
      <c r="K62" s="25"/>
      <c r="L62" s="26"/>
    </row>
    <row r="63" spans="4:13">
      <c r="I63" s="27"/>
      <c r="J63" s="18"/>
      <c r="K63" s="25"/>
      <c r="L63" s="26"/>
    </row>
    <row r="64" spans="4:13">
      <c r="E64" t="s">
        <v>94</v>
      </c>
      <c r="H64">
        <v>5185</v>
      </c>
      <c r="I64" s="2">
        <v>2000</v>
      </c>
      <c r="J64" s="18"/>
      <c r="K64" s="25">
        <v>2000</v>
      </c>
      <c r="L64" s="26">
        <f>K64/I64</f>
        <v>1</v>
      </c>
      <c r="M64" s="25">
        <f>(L$2-L64)*I64</f>
        <v>-1000</v>
      </c>
    </row>
    <row r="65" spans="3:13">
      <c r="E65" t="s">
        <v>95</v>
      </c>
      <c r="H65">
        <v>5195</v>
      </c>
      <c r="I65" s="3">
        <v>800</v>
      </c>
      <c r="J65" s="12"/>
      <c r="K65" s="30">
        <v>400</v>
      </c>
      <c r="L65" s="26">
        <f>K65/I65</f>
        <v>0.5</v>
      </c>
      <c r="M65" s="30">
        <f>(L$2-L65)*I65</f>
        <v>0</v>
      </c>
    </row>
    <row r="66" spans="3:13">
      <c r="E66" t="s">
        <v>96</v>
      </c>
      <c r="H66">
        <v>5151</v>
      </c>
      <c r="I66" s="8">
        <f>I55+I60+I64+I65</f>
        <v>22906</v>
      </c>
      <c r="J66" s="18"/>
      <c r="K66" s="8">
        <f>K55+K60+K64+K65</f>
        <v>12959</v>
      </c>
      <c r="L66" s="26"/>
      <c r="M66" s="8">
        <f>M55+M60+M64+M65</f>
        <v>-1505.9999999999995</v>
      </c>
    </row>
    <row r="67" spans="3:13">
      <c r="D67" t="s">
        <v>17</v>
      </c>
      <c r="H67">
        <v>5300</v>
      </c>
      <c r="I67" s="2"/>
      <c r="J67" s="18"/>
      <c r="K67" s="25"/>
      <c r="L67" s="26"/>
    </row>
    <row r="68" spans="3:13">
      <c r="E68" t="s">
        <v>18</v>
      </c>
      <c r="H68">
        <v>5307</v>
      </c>
      <c r="I68" s="2">
        <v>200</v>
      </c>
      <c r="J68" s="18"/>
      <c r="K68" s="25"/>
      <c r="L68" s="26"/>
    </row>
    <row r="69" spans="3:13">
      <c r="E69" t="s">
        <v>19</v>
      </c>
      <c r="H69">
        <v>5308</v>
      </c>
      <c r="I69" s="2">
        <v>2300</v>
      </c>
      <c r="J69" s="18"/>
      <c r="K69" s="25">
        <v>1182</v>
      </c>
      <c r="L69" s="26">
        <f>K69/I69</f>
        <v>0.51391304347826083</v>
      </c>
      <c r="M69" s="25">
        <f>(L$2-L69)*I69</f>
        <v>-31.999999999999918</v>
      </c>
    </row>
    <row r="70" spans="3:13">
      <c r="E70" t="s">
        <v>20</v>
      </c>
      <c r="H70">
        <v>5309</v>
      </c>
      <c r="I70" s="2">
        <v>600</v>
      </c>
      <c r="J70" s="18"/>
      <c r="K70" s="25">
        <v>275</v>
      </c>
      <c r="L70" s="26">
        <f>K70/I70</f>
        <v>0.45833333333333331</v>
      </c>
      <c r="M70" s="25">
        <f>(L$2-L70)*I70</f>
        <v>25.000000000000011</v>
      </c>
    </row>
    <row r="71" spans="3:13">
      <c r="E71" t="s">
        <v>97</v>
      </c>
      <c r="H71">
        <v>5310</v>
      </c>
      <c r="I71" s="2">
        <v>500</v>
      </c>
      <c r="J71" s="18"/>
      <c r="K71" s="30">
        <v>817</v>
      </c>
      <c r="L71" s="26">
        <f>K71/I71</f>
        <v>1.6339999999999999</v>
      </c>
      <c r="M71" s="25">
        <f>(L$2-L71)*I71</f>
        <v>-567</v>
      </c>
    </row>
    <row r="72" spans="3:13">
      <c r="E72" t="s">
        <v>98</v>
      </c>
      <c r="H72">
        <v>5300</v>
      </c>
      <c r="I72" s="9">
        <f>SUM(I68:I71)</f>
        <v>3600</v>
      </c>
      <c r="J72" s="12"/>
      <c r="K72" s="9">
        <f>SUM(K68:K71)</f>
        <v>2274</v>
      </c>
      <c r="L72" s="26"/>
      <c r="M72" s="9">
        <f>SUM(M68:M71)</f>
        <v>-573.99999999999989</v>
      </c>
    </row>
    <row r="73" spans="3:13">
      <c r="D73" t="s">
        <v>99</v>
      </c>
      <c r="H73">
        <v>5150</v>
      </c>
      <c r="I73" s="9">
        <f>I66+I72</f>
        <v>26506</v>
      </c>
      <c r="J73" s="12"/>
      <c r="K73" s="9">
        <f>K66+K72</f>
        <v>15233</v>
      </c>
      <c r="L73" s="26"/>
      <c r="M73" s="9">
        <f>M66+M72</f>
        <v>-2079.9999999999995</v>
      </c>
    </row>
    <row r="74" spans="3:13">
      <c r="I74" s="2"/>
      <c r="J74" s="18"/>
      <c r="K74" s="25"/>
      <c r="L74" s="26"/>
    </row>
    <row r="75" spans="3:13">
      <c r="C75" t="s">
        <v>100</v>
      </c>
      <c r="H75">
        <v>5400</v>
      </c>
      <c r="I75" s="2"/>
      <c r="J75" s="18"/>
      <c r="K75" s="25"/>
      <c r="L75" s="26"/>
    </row>
    <row r="76" spans="3:13">
      <c r="D76" t="s">
        <v>133</v>
      </c>
      <c r="I76" s="2"/>
      <c r="J76" s="18"/>
      <c r="K76" s="25"/>
      <c r="L76" s="26"/>
    </row>
    <row r="77" spans="3:13">
      <c r="E77" t="s">
        <v>134</v>
      </c>
      <c r="H77">
        <v>5414</v>
      </c>
      <c r="I77" s="2">
        <v>1300</v>
      </c>
      <c r="J77" s="18"/>
      <c r="K77" s="25">
        <v>419</v>
      </c>
      <c r="L77" s="26">
        <f>K77/I77</f>
        <v>0.3223076923076923</v>
      </c>
      <c r="M77" s="25">
        <f>(L$2-L77)*I77</f>
        <v>231.00000000000003</v>
      </c>
    </row>
    <row r="78" spans="3:13">
      <c r="D78" t="s">
        <v>21</v>
      </c>
      <c r="H78">
        <v>5420</v>
      </c>
      <c r="I78" s="2">
        <v>1500</v>
      </c>
      <c r="J78" s="18"/>
      <c r="K78" s="25">
        <v>73</v>
      </c>
      <c r="L78" s="26">
        <f>K78/I78</f>
        <v>4.8666666666666664E-2</v>
      </c>
      <c r="M78" s="25">
        <f>(L$2-L78)*I78</f>
        <v>677</v>
      </c>
    </row>
    <row r="79" spans="3:13">
      <c r="D79" t="s">
        <v>22</v>
      </c>
      <c r="H79">
        <v>5425</v>
      </c>
      <c r="I79" s="2">
        <v>1500</v>
      </c>
      <c r="J79" s="18"/>
      <c r="K79" s="25">
        <v>712</v>
      </c>
      <c r="L79" s="26">
        <f>K79/I79</f>
        <v>0.47466666666666668</v>
      </c>
      <c r="M79" s="25">
        <f>(L$2-L79)*I79</f>
        <v>37.999999999999979</v>
      </c>
    </row>
    <row r="80" spans="3:13">
      <c r="D80" t="s">
        <v>23</v>
      </c>
      <c r="H80">
        <v>5430</v>
      </c>
      <c r="I80" s="2">
        <v>1700</v>
      </c>
      <c r="J80" s="18"/>
      <c r="K80" s="25">
        <v>697</v>
      </c>
      <c r="L80" s="26">
        <f>K80/I80</f>
        <v>0.41</v>
      </c>
      <c r="M80" s="25">
        <f>(L$2-L80)*I80</f>
        <v>153.00000000000003</v>
      </c>
    </row>
    <row r="81" spans="4:13">
      <c r="D81" t="s">
        <v>24</v>
      </c>
      <c r="H81">
        <v>5440</v>
      </c>
      <c r="I81" s="2">
        <v>400</v>
      </c>
      <c r="J81" s="18"/>
      <c r="K81" s="25">
        <v>203</v>
      </c>
      <c r="L81" s="26">
        <f>K81/I81</f>
        <v>0.50749999999999995</v>
      </c>
      <c r="M81" s="25">
        <f>(L$2-L81)*I81</f>
        <v>-2.9999999999999805</v>
      </c>
    </row>
    <row r="82" spans="4:13">
      <c r="D82" t="s">
        <v>101</v>
      </c>
      <c r="H82">
        <v>5450</v>
      </c>
      <c r="I82" s="2">
        <v>3000</v>
      </c>
      <c r="J82" s="18"/>
      <c r="K82" s="25">
        <v>1593</v>
      </c>
      <c r="L82" s="26">
        <f>K82/I82</f>
        <v>0.53100000000000003</v>
      </c>
      <c r="M82" s="25">
        <f>(L$2-L82)*I82</f>
        <v>-93.000000000000085</v>
      </c>
    </row>
    <row r="83" spans="4:13">
      <c r="D83" t="s">
        <v>128</v>
      </c>
      <c r="H83">
        <v>5470</v>
      </c>
      <c r="I83" s="2">
        <v>1000</v>
      </c>
      <c r="J83" s="18"/>
      <c r="K83" s="25">
        <v>99</v>
      </c>
      <c r="L83" s="26">
        <f>K83/I83</f>
        <v>9.9000000000000005E-2</v>
      </c>
      <c r="M83" s="25">
        <f>(L$2-L83)*I83</f>
        <v>401</v>
      </c>
    </row>
    <row r="84" spans="4:13">
      <c r="D84" t="s">
        <v>25</v>
      </c>
      <c r="H84">
        <v>5490</v>
      </c>
      <c r="I84" s="2">
        <v>700</v>
      </c>
      <c r="J84" s="18"/>
      <c r="K84" s="25">
        <v>290</v>
      </c>
      <c r="L84" s="26">
        <f>K84/I84</f>
        <v>0.41428571428571431</v>
      </c>
      <c r="M84" s="25">
        <f>(L$2-L84)*I84</f>
        <v>59.999999999999979</v>
      </c>
    </row>
    <row r="85" spans="4:13">
      <c r="D85" t="s">
        <v>102</v>
      </c>
      <c r="H85">
        <v>5520</v>
      </c>
      <c r="I85" s="2"/>
      <c r="J85" s="18"/>
      <c r="K85" s="25"/>
      <c r="L85" s="26"/>
    </row>
    <row r="86" spans="4:13">
      <c r="E86" t="s">
        <v>26</v>
      </c>
      <c r="H86">
        <v>5521</v>
      </c>
      <c r="I86" s="2">
        <v>2600</v>
      </c>
      <c r="J86" s="18"/>
      <c r="K86" s="25">
        <v>1728</v>
      </c>
      <c r="L86" s="26">
        <f>K86/I86</f>
        <v>0.66461538461538461</v>
      </c>
      <c r="M86" s="25">
        <f>(L$2-L86)*I86</f>
        <v>-428</v>
      </c>
    </row>
    <row r="87" spans="4:13">
      <c r="D87" t="s">
        <v>67</v>
      </c>
      <c r="H87">
        <v>5530</v>
      </c>
      <c r="I87" s="2"/>
      <c r="J87" s="18"/>
      <c r="K87" s="25"/>
      <c r="L87" s="26"/>
    </row>
    <row r="88" spans="4:13">
      <c r="E88" t="s">
        <v>27</v>
      </c>
      <c r="H88">
        <v>5531</v>
      </c>
      <c r="I88" s="2">
        <v>50343.02</v>
      </c>
      <c r="J88" s="18"/>
      <c r="K88" s="25">
        <v>25916</v>
      </c>
      <c r="L88" s="26">
        <f>K88/I88</f>
        <v>0.51478834603088974</v>
      </c>
      <c r="M88" s="25">
        <f>(L$2-L88)*I88</f>
        <v>-744.49000000000285</v>
      </c>
    </row>
    <row r="89" spans="4:13">
      <c r="E89" t="s">
        <v>28</v>
      </c>
      <c r="H89">
        <v>5532</v>
      </c>
      <c r="I89" s="3">
        <v>19299.189999999999</v>
      </c>
      <c r="J89" s="12"/>
      <c r="K89" s="30">
        <v>9959</v>
      </c>
      <c r="L89" s="26">
        <f>K89/I89</f>
        <v>0.51603201999669424</v>
      </c>
      <c r="M89" s="30">
        <f>(L$2-L89)*I89</f>
        <v>-309.40500000000139</v>
      </c>
    </row>
    <row r="90" spans="4:13">
      <c r="D90" t="s">
        <v>103</v>
      </c>
      <c r="H90">
        <v>5530</v>
      </c>
      <c r="I90" s="10">
        <f>I88+I89</f>
        <v>69642.209999999992</v>
      </c>
      <c r="J90" s="19"/>
      <c r="K90" s="10">
        <f>K88+K89</f>
        <v>35875</v>
      </c>
      <c r="L90" s="26"/>
      <c r="M90" s="10">
        <f>M88+M89</f>
        <v>-1053.8950000000043</v>
      </c>
    </row>
    <row r="91" spans="4:13">
      <c r="D91" t="s">
        <v>29</v>
      </c>
      <c r="H91">
        <v>5540</v>
      </c>
      <c r="I91" s="2"/>
      <c r="J91" s="18"/>
      <c r="K91" s="25"/>
      <c r="L91" s="26"/>
    </row>
    <row r="92" spans="4:13">
      <c r="E92" t="s">
        <v>30</v>
      </c>
      <c r="H92">
        <v>5541</v>
      </c>
      <c r="I92" s="2">
        <v>400</v>
      </c>
      <c r="J92" s="18"/>
      <c r="K92" s="25"/>
      <c r="L92" s="26">
        <f>K92/I92</f>
        <v>0</v>
      </c>
      <c r="M92" s="25">
        <f>(L$2-L92)*I92</f>
        <v>200</v>
      </c>
    </row>
    <row r="93" spans="4:13">
      <c r="E93" t="s">
        <v>138</v>
      </c>
      <c r="H93">
        <v>5542</v>
      </c>
      <c r="I93" s="2">
        <v>777</v>
      </c>
      <c r="J93" s="18"/>
      <c r="K93" s="25"/>
      <c r="L93" s="26">
        <f>K93/I93</f>
        <v>0</v>
      </c>
      <c r="M93" s="25">
        <f>(L$2-L93)*I93</f>
        <v>388.5</v>
      </c>
    </row>
    <row r="94" spans="4:13">
      <c r="E94" t="s">
        <v>104</v>
      </c>
      <c r="H94">
        <v>5543</v>
      </c>
      <c r="I94" s="2"/>
      <c r="J94" s="18"/>
      <c r="K94" s="25"/>
      <c r="L94" s="26"/>
    </row>
    <row r="95" spans="4:13">
      <c r="E95" t="s">
        <v>105</v>
      </c>
      <c r="H95">
        <v>5544</v>
      </c>
      <c r="I95" s="2"/>
      <c r="J95" s="18"/>
      <c r="K95" s="25"/>
      <c r="L95" s="26"/>
    </row>
    <row r="96" spans="4:13">
      <c r="E96" t="s">
        <v>106</v>
      </c>
      <c r="H96">
        <v>5545</v>
      </c>
      <c r="I96" s="2"/>
      <c r="J96" s="18"/>
      <c r="K96" s="25"/>
      <c r="L96" s="26"/>
    </row>
    <row r="97" spans="3:13">
      <c r="E97" t="s">
        <v>107</v>
      </c>
      <c r="H97">
        <v>5546</v>
      </c>
      <c r="I97" s="7"/>
      <c r="J97" s="12"/>
      <c r="K97" s="25"/>
      <c r="L97" s="26"/>
    </row>
    <row r="98" spans="3:13">
      <c r="E98" t="s">
        <v>139</v>
      </c>
      <c r="H98">
        <v>5547</v>
      </c>
      <c r="I98" s="7">
        <v>16500</v>
      </c>
      <c r="J98" s="12"/>
      <c r="K98" s="25">
        <v>8528</v>
      </c>
      <c r="L98" s="26">
        <f>K98/I98</f>
        <v>0.51684848484848489</v>
      </c>
      <c r="M98" s="25">
        <f>(L$2-L98)*I98</f>
        <v>-278.00000000000068</v>
      </c>
    </row>
    <row r="99" spans="3:13">
      <c r="E99" t="s">
        <v>140</v>
      </c>
      <c r="H99">
        <v>5548</v>
      </c>
      <c r="I99" s="7">
        <v>5700</v>
      </c>
      <c r="J99" s="12"/>
      <c r="K99" s="25">
        <v>2319</v>
      </c>
      <c r="L99" s="26">
        <f>K99/I99</f>
        <v>0.40684210526315789</v>
      </c>
      <c r="M99" s="25">
        <f>(L$2-L99)*I99</f>
        <v>531</v>
      </c>
    </row>
    <row r="100" spans="3:13">
      <c r="E100" t="s">
        <v>150</v>
      </c>
      <c r="H100">
        <v>5549</v>
      </c>
      <c r="I100" s="3">
        <v>2000</v>
      </c>
      <c r="J100" s="12"/>
      <c r="K100" s="30"/>
      <c r="L100" s="26">
        <f>K100/I100</f>
        <v>0</v>
      </c>
      <c r="M100" s="30">
        <f>(L$2-L100)*I100</f>
        <v>1000</v>
      </c>
    </row>
    <row r="101" spans="3:13">
      <c r="E101" t="s">
        <v>108</v>
      </c>
      <c r="H101">
        <v>5540</v>
      </c>
      <c r="I101" s="8">
        <f>SUM(I92:I100)</f>
        <v>25377</v>
      </c>
      <c r="J101" s="18"/>
      <c r="K101" s="8">
        <f>SUM(K92:K100)</f>
        <v>10847</v>
      </c>
      <c r="L101" s="26"/>
      <c r="M101" s="8">
        <f>SUM(M92:M100)</f>
        <v>1841.4999999999993</v>
      </c>
    </row>
    <row r="102" spans="3:13">
      <c r="D102" t="s">
        <v>109</v>
      </c>
      <c r="H102">
        <v>5550</v>
      </c>
      <c r="I102" s="2"/>
      <c r="J102" s="18"/>
      <c r="K102" s="25"/>
      <c r="L102" s="26"/>
    </row>
    <row r="103" spans="3:13">
      <c r="E103" t="s">
        <v>131</v>
      </c>
      <c r="H103">
        <v>5555</v>
      </c>
      <c r="I103" s="2">
        <v>0</v>
      </c>
      <c r="J103" s="18"/>
      <c r="K103" s="25"/>
      <c r="L103" s="26"/>
    </row>
    <row r="104" spans="3:13">
      <c r="E104" t="s">
        <v>31</v>
      </c>
      <c r="H104">
        <v>5560</v>
      </c>
      <c r="I104" s="2">
        <v>2000</v>
      </c>
      <c r="J104" s="18"/>
      <c r="K104" s="25">
        <v>972</v>
      </c>
      <c r="L104" s="26">
        <f>K104/I104</f>
        <v>0.48599999999999999</v>
      </c>
      <c r="M104" s="25">
        <f>(L$2-L104)*I104</f>
        <v>28.000000000000025</v>
      </c>
    </row>
    <row r="105" spans="3:13">
      <c r="E105" t="s">
        <v>132</v>
      </c>
      <c r="H105">
        <v>5561</v>
      </c>
      <c r="I105" s="2">
        <v>320</v>
      </c>
      <c r="J105" s="18"/>
      <c r="K105" s="25"/>
      <c r="L105" s="26"/>
    </row>
    <row r="106" spans="3:13">
      <c r="D106" t="s">
        <v>110</v>
      </c>
      <c r="H106">
        <v>5580</v>
      </c>
      <c r="I106" s="2"/>
      <c r="J106" s="18"/>
      <c r="K106" s="25"/>
      <c r="L106" s="26"/>
    </row>
    <row r="107" spans="3:13">
      <c r="E107" t="s">
        <v>32</v>
      </c>
      <c r="H107">
        <v>5583</v>
      </c>
      <c r="I107" s="2">
        <v>2200</v>
      </c>
      <c r="J107" s="18"/>
      <c r="K107" s="25">
        <v>1080</v>
      </c>
      <c r="L107" s="26">
        <f>K107/I107</f>
        <v>0.49090909090909091</v>
      </c>
      <c r="M107" s="25">
        <f>(L$2-L107)*I107</f>
        <v>20.000000000000007</v>
      </c>
    </row>
    <row r="108" spans="3:13">
      <c r="E108" t="s">
        <v>129</v>
      </c>
      <c r="H108">
        <v>5588</v>
      </c>
      <c r="I108" s="3">
        <v>1600</v>
      </c>
      <c r="J108" s="12"/>
      <c r="K108" s="30">
        <v>2150</v>
      </c>
      <c r="L108" s="26">
        <f>K108/I108</f>
        <v>1.34375</v>
      </c>
      <c r="M108" s="30">
        <f>(L$2-L108)*I108</f>
        <v>-1350</v>
      </c>
    </row>
    <row r="109" spans="3:13">
      <c r="D109" t="s">
        <v>111</v>
      </c>
      <c r="H109">
        <v>5400</v>
      </c>
      <c r="I109" s="8">
        <f>SUM(I77:I86)+I90+I101+I103+I104+I105+I107+I108</f>
        <v>114839.20999999999</v>
      </c>
      <c r="J109" s="18"/>
      <c r="K109" s="8">
        <f>SUM(K77:K86)+K90+K101+K103+K104+K105+K107+K108</f>
        <v>56738</v>
      </c>
      <c r="L109" s="26"/>
      <c r="M109" s="8">
        <f>SUM(M77:M86)+M90+M101+M103+M104+M105+M107+M108</f>
        <v>521.60499999999502</v>
      </c>
    </row>
    <row r="110" spans="3:13">
      <c r="I110" s="2"/>
      <c r="J110" s="18"/>
      <c r="K110" s="25"/>
      <c r="L110" s="26"/>
    </row>
    <row r="111" spans="3:13">
      <c r="C111" t="s">
        <v>112</v>
      </c>
      <c r="H111">
        <v>5600</v>
      </c>
      <c r="I111" s="2"/>
      <c r="J111" s="18"/>
      <c r="K111" s="25"/>
      <c r="L111" s="26"/>
    </row>
    <row r="112" spans="3:13">
      <c r="D112" t="s">
        <v>40</v>
      </c>
      <c r="H112">
        <v>5630</v>
      </c>
      <c r="I112" s="2"/>
      <c r="J112" s="18"/>
      <c r="K112" s="25"/>
      <c r="L112" s="26"/>
    </row>
    <row r="113" spans="3:13">
      <c r="E113" t="s">
        <v>33</v>
      </c>
      <c r="H113">
        <v>5631</v>
      </c>
      <c r="I113" s="2">
        <v>2000</v>
      </c>
      <c r="J113" s="18"/>
      <c r="K113" s="25">
        <v>680</v>
      </c>
      <c r="L113" s="26">
        <f>K113/I113</f>
        <v>0.34</v>
      </c>
      <c r="M113" s="25">
        <f>(L$2-L113)*I113</f>
        <v>319.99999999999994</v>
      </c>
    </row>
    <row r="114" spans="3:13">
      <c r="E114" t="s">
        <v>34</v>
      </c>
      <c r="H114">
        <v>5635</v>
      </c>
      <c r="I114" s="2">
        <v>9000</v>
      </c>
      <c r="J114" s="18"/>
      <c r="K114" s="25">
        <v>4429</v>
      </c>
      <c r="L114" s="26">
        <f>K114/I114</f>
        <v>0.49211111111111111</v>
      </c>
      <c r="M114" s="25">
        <f>(L$2-L114)*I114</f>
        <v>71.000000000000014</v>
      </c>
    </row>
    <row r="115" spans="3:13">
      <c r="E115" t="s">
        <v>113</v>
      </c>
      <c r="H115">
        <v>5645</v>
      </c>
      <c r="I115" s="2">
        <v>9000</v>
      </c>
      <c r="J115" s="18"/>
      <c r="K115" s="25">
        <v>6822</v>
      </c>
      <c r="L115" s="26">
        <f>K115/I115</f>
        <v>0.75800000000000001</v>
      </c>
      <c r="M115" s="25">
        <f>(L$2-L115)*I115</f>
        <v>-2322</v>
      </c>
    </row>
    <row r="116" spans="3:13">
      <c r="E116" t="s">
        <v>130</v>
      </c>
      <c r="H116">
        <v>5665</v>
      </c>
      <c r="I116" s="3">
        <v>1500</v>
      </c>
      <c r="J116" s="12"/>
      <c r="K116" s="30">
        <v>736</v>
      </c>
      <c r="L116" s="26">
        <f>K116/I116</f>
        <v>0.49066666666666664</v>
      </c>
      <c r="M116" s="30">
        <f>(L$2-L116)*I116</f>
        <v>14.000000000000041</v>
      </c>
    </row>
    <row r="117" spans="3:13">
      <c r="E117" t="s">
        <v>114</v>
      </c>
      <c r="H117">
        <v>5630</v>
      </c>
      <c r="I117" s="8">
        <f>SUM(I113:I116)</f>
        <v>21500</v>
      </c>
      <c r="J117" s="18"/>
      <c r="K117" s="8">
        <f>SUM(K113:K116)</f>
        <v>12667</v>
      </c>
      <c r="L117" s="26"/>
      <c r="M117" s="8">
        <f>SUM(M113:M116)</f>
        <v>-1917</v>
      </c>
    </row>
    <row r="118" spans="3:13">
      <c r="D118" t="s">
        <v>35</v>
      </c>
      <c r="H118">
        <v>5700</v>
      </c>
      <c r="I118" s="2"/>
      <c r="J118" s="18"/>
      <c r="K118" s="25"/>
      <c r="L118" s="26"/>
    </row>
    <row r="119" spans="3:13">
      <c r="E119" t="s">
        <v>36</v>
      </c>
      <c r="H119">
        <v>5710</v>
      </c>
      <c r="I119" s="2">
        <v>750</v>
      </c>
      <c r="J119" s="18"/>
      <c r="K119" s="25">
        <v>358</v>
      </c>
      <c r="L119" s="26">
        <f>K119/I119</f>
        <v>0.47733333333333333</v>
      </c>
      <c r="M119" s="25">
        <f>(L$2-L119)*I119</f>
        <v>17</v>
      </c>
    </row>
    <row r="120" spans="3:13">
      <c r="E120" t="s">
        <v>37</v>
      </c>
      <c r="H120">
        <v>5720</v>
      </c>
      <c r="I120" s="2">
        <v>4500</v>
      </c>
      <c r="J120" s="18"/>
      <c r="K120" s="25">
        <v>2724</v>
      </c>
      <c r="L120" s="26">
        <f>K120/I120</f>
        <v>0.60533333333333328</v>
      </c>
      <c r="M120" s="25">
        <f>(L$2-L120)*I120</f>
        <v>-473.99999999999977</v>
      </c>
    </row>
    <row r="121" spans="3:13">
      <c r="E121" t="s">
        <v>38</v>
      </c>
      <c r="H121">
        <v>5740</v>
      </c>
      <c r="I121" s="3">
        <v>15000</v>
      </c>
      <c r="J121" s="12"/>
      <c r="K121" s="30">
        <v>2332</v>
      </c>
      <c r="L121" s="26">
        <f>K121/I121</f>
        <v>0.15546666666666667</v>
      </c>
      <c r="M121" s="30">
        <f>(L$2-L121)*I121</f>
        <v>5168</v>
      </c>
    </row>
    <row r="122" spans="3:13">
      <c r="E122" t="s">
        <v>115</v>
      </c>
      <c r="H122">
        <v>5700</v>
      </c>
      <c r="I122" s="8">
        <f>SUM(I119:I121)</f>
        <v>20250</v>
      </c>
      <c r="J122" s="18"/>
      <c r="K122" s="8">
        <f>SUM(K119:K121)</f>
        <v>5414</v>
      </c>
      <c r="L122" s="26"/>
      <c r="M122" s="8">
        <f>SUM(M119:M121)</f>
        <v>4711</v>
      </c>
    </row>
    <row r="123" spans="3:13">
      <c r="C123" t="s">
        <v>39</v>
      </c>
      <c r="H123">
        <v>5800</v>
      </c>
      <c r="I123" s="2"/>
      <c r="J123" s="18"/>
      <c r="K123" s="25"/>
      <c r="L123" s="26"/>
    </row>
    <row r="124" spans="3:13">
      <c r="D124" t="s">
        <v>41</v>
      </c>
      <c r="H124">
        <v>5810</v>
      </c>
      <c r="I124" s="2">
        <v>2750</v>
      </c>
      <c r="J124" s="18"/>
      <c r="K124" s="25"/>
      <c r="L124" s="26">
        <f>K124/I124</f>
        <v>0</v>
      </c>
      <c r="M124" s="25">
        <f>(L$2-L124)*I124</f>
        <v>1375</v>
      </c>
    </row>
    <row r="125" spans="3:13">
      <c r="D125" t="s">
        <v>42</v>
      </c>
      <c r="H125">
        <v>5820</v>
      </c>
      <c r="I125" s="2">
        <v>9000</v>
      </c>
      <c r="J125" s="18"/>
      <c r="K125" s="30">
        <v>4398</v>
      </c>
      <c r="L125" s="26">
        <f>K125/I125</f>
        <v>0.48866666666666669</v>
      </c>
      <c r="M125" s="25">
        <f>(L$2-L125)*I125</f>
        <v>101.99999999999976</v>
      </c>
    </row>
    <row r="126" spans="3:13">
      <c r="D126" t="s">
        <v>116</v>
      </c>
      <c r="H126">
        <v>5800</v>
      </c>
      <c r="I126" s="9">
        <f>I124+I125</f>
        <v>11750</v>
      </c>
      <c r="J126" s="12"/>
      <c r="K126" s="9">
        <f>K124+K125</f>
        <v>4398</v>
      </c>
      <c r="L126" s="26"/>
      <c r="M126" s="9">
        <f>M124+M125</f>
        <v>1476.9999999999998</v>
      </c>
    </row>
    <row r="127" spans="3:13">
      <c r="D127" t="s">
        <v>117</v>
      </c>
      <c r="H127">
        <v>5600</v>
      </c>
      <c r="I127" s="9">
        <f>I117+I122+I126</f>
        <v>53500</v>
      </c>
      <c r="J127" s="12"/>
      <c r="K127" s="9">
        <f>K117+K122+K126</f>
        <v>22479</v>
      </c>
      <c r="L127" s="26"/>
      <c r="M127" s="9">
        <f>M117+M122+M126</f>
        <v>4271</v>
      </c>
    </row>
    <row r="128" spans="3:13">
      <c r="C128" t="s">
        <v>143</v>
      </c>
      <c r="I128" s="12"/>
      <c r="J128" s="12"/>
      <c r="K128" s="25"/>
      <c r="L128" s="26"/>
    </row>
    <row r="129" spans="2:13">
      <c r="D129" t="s">
        <v>144</v>
      </c>
      <c r="H129">
        <v>5910</v>
      </c>
      <c r="I129" s="12">
        <v>1500</v>
      </c>
      <c r="J129" s="12"/>
      <c r="K129" s="25">
        <v>230</v>
      </c>
      <c r="L129" s="26">
        <f>K129/I129</f>
        <v>0.15333333333333332</v>
      </c>
      <c r="M129" s="25">
        <f>(L$2-L129)*I129</f>
        <v>520</v>
      </c>
    </row>
    <row r="130" spans="2:13">
      <c r="D130" t="s">
        <v>145</v>
      </c>
      <c r="I130" s="12">
        <v>700</v>
      </c>
      <c r="J130" s="12"/>
      <c r="K130" s="25"/>
      <c r="L130" s="26">
        <f>K130/I130</f>
        <v>0</v>
      </c>
      <c r="M130" s="25">
        <f>(L$2-L130)*I130</f>
        <v>350</v>
      </c>
    </row>
    <row r="131" spans="2:13">
      <c r="D131" t="s">
        <v>146</v>
      </c>
      <c r="H131">
        <v>5930</v>
      </c>
      <c r="I131" s="12">
        <v>500</v>
      </c>
      <c r="J131" s="12"/>
      <c r="K131" s="25"/>
      <c r="L131" s="26">
        <f>K131/I131</f>
        <v>0</v>
      </c>
      <c r="M131" s="25">
        <f>(L$2-L131)*I131</f>
        <v>250</v>
      </c>
    </row>
    <row r="132" spans="2:13">
      <c r="D132" t="s">
        <v>147</v>
      </c>
      <c r="H132">
        <v>5951</v>
      </c>
      <c r="I132" s="3">
        <v>0</v>
      </c>
      <c r="J132" s="12"/>
      <c r="K132" s="30"/>
      <c r="L132" s="26"/>
      <c r="M132" s="25"/>
    </row>
    <row r="133" spans="2:13">
      <c r="D133" t="s">
        <v>148</v>
      </c>
      <c r="I133" s="9">
        <f>SUM(I129:I132)</f>
        <v>2700</v>
      </c>
      <c r="J133" s="12"/>
      <c r="K133" s="9">
        <f>SUM(K129:K132)</f>
        <v>230</v>
      </c>
      <c r="L133" s="26"/>
      <c r="M133" s="9">
        <f>SUM(M129:M132)</f>
        <v>1120</v>
      </c>
    </row>
    <row r="134" spans="2:13">
      <c r="C134" t="s">
        <v>118</v>
      </c>
      <c r="H134">
        <v>5010</v>
      </c>
      <c r="I134" s="8">
        <f>I46+I73+I109+I127+I133</f>
        <v>365808.20999999996</v>
      </c>
      <c r="J134" s="18"/>
      <c r="K134" s="8">
        <f>K46+K73+K109+K127+K133</f>
        <v>159312</v>
      </c>
      <c r="L134" s="26"/>
      <c r="M134" s="8">
        <f>M46+M73+M109+M127+M133</f>
        <v>28332.104999999996</v>
      </c>
    </row>
    <row r="135" spans="2:13">
      <c r="I135" s="2"/>
      <c r="J135" s="18"/>
      <c r="K135" s="25"/>
      <c r="L135" s="26"/>
    </row>
    <row r="136" spans="2:13">
      <c r="B136" t="s">
        <v>119</v>
      </c>
      <c r="H136">
        <v>6000</v>
      </c>
      <c r="I136" s="2"/>
      <c r="J136" s="18"/>
      <c r="K136" s="25"/>
      <c r="L136" s="26"/>
    </row>
    <row r="137" spans="2:13">
      <c r="C137" t="s">
        <v>43</v>
      </c>
      <c r="H137">
        <v>6010</v>
      </c>
      <c r="I137" s="2"/>
      <c r="J137" s="18"/>
      <c r="K137" s="25"/>
      <c r="L137" s="26"/>
    </row>
    <row r="138" spans="2:13">
      <c r="D138" t="s">
        <v>44</v>
      </c>
      <c r="H138">
        <v>6015</v>
      </c>
      <c r="I138" s="2">
        <v>200</v>
      </c>
      <c r="J138" s="18"/>
      <c r="K138" s="25">
        <v>144</v>
      </c>
      <c r="L138" s="26">
        <f>K138/I138</f>
        <v>0.72</v>
      </c>
      <c r="M138" s="25">
        <f>(L$2-L138)*I138</f>
        <v>-43.999999999999993</v>
      </c>
    </row>
    <row r="139" spans="2:13">
      <c r="D139" t="s">
        <v>45</v>
      </c>
      <c r="H139">
        <v>6016</v>
      </c>
      <c r="I139" s="2">
        <v>2000</v>
      </c>
      <c r="J139" s="18"/>
      <c r="K139" s="25"/>
      <c r="L139" s="26">
        <f>K139/I139</f>
        <v>0</v>
      </c>
      <c r="M139" s="25">
        <f>(L$2-L139)*I139</f>
        <v>1000</v>
      </c>
    </row>
    <row r="140" spans="2:13">
      <c r="D140" t="s">
        <v>151</v>
      </c>
      <c r="H140">
        <v>6017</v>
      </c>
      <c r="I140" s="2">
        <v>0</v>
      </c>
      <c r="J140" s="18"/>
      <c r="K140" s="25"/>
      <c r="L140" s="26"/>
    </row>
    <row r="141" spans="2:13">
      <c r="D141" t="s">
        <v>152</v>
      </c>
      <c r="I141" s="2">
        <v>5000</v>
      </c>
      <c r="J141" s="18"/>
      <c r="K141" s="25"/>
      <c r="L141" s="26">
        <f>K141/I141</f>
        <v>0</v>
      </c>
      <c r="M141" s="25">
        <f>(L$2-L141)*I141</f>
        <v>2500</v>
      </c>
    </row>
    <row r="142" spans="2:13">
      <c r="D142" t="s">
        <v>46</v>
      </c>
      <c r="H142">
        <v>6020</v>
      </c>
      <c r="I142" s="2">
        <v>1500</v>
      </c>
      <c r="J142" s="18"/>
      <c r="K142" s="25"/>
      <c r="L142" s="26">
        <f>K142/I142</f>
        <v>0</v>
      </c>
      <c r="M142" s="25">
        <f>(L$2-L142)*I142</f>
        <v>750</v>
      </c>
    </row>
    <row r="143" spans="2:13">
      <c r="D143" t="s">
        <v>47</v>
      </c>
      <c r="H143">
        <v>6030</v>
      </c>
      <c r="I143" s="3">
        <v>800</v>
      </c>
      <c r="J143" s="12"/>
      <c r="K143" s="30"/>
      <c r="L143" s="26">
        <f>K143/I143</f>
        <v>0</v>
      </c>
      <c r="M143" s="30">
        <f>(L$2-L143)*I143</f>
        <v>400</v>
      </c>
    </row>
    <row r="144" spans="2:13">
      <c r="D144" t="s">
        <v>120</v>
      </c>
      <c r="H144">
        <v>6010</v>
      </c>
      <c r="I144" s="8">
        <f>SUM(I138:I143)</f>
        <v>9500</v>
      </c>
      <c r="J144" s="18"/>
      <c r="K144" s="8">
        <f>SUM(K138:K143)</f>
        <v>144</v>
      </c>
      <c r="L144" s="26"/>
      <c r="M144" s="8">
        <f>SUM(M138:M143)</f>
        <v>4606</v>
      </c>
    </row>
    <row r="145" spans="2:13">
      <c r="C145" t="s">
        <v>48</v>
      </c>
      <c r="H145">
        <v>6200</v>
      </c>
      <c r="I145" s="2">
        <v>500</v>
      </c>
      <c r="J145" s="18"/>
      <c r="K145" s="25">
        <v>197</v>
      </c>
      <c r="L145" s="26">
        <f>K145/I145</f>
        <v>0.39400000000000002</v>
      </c>
      <c r="M145" s="25">
        <f>(L$2-L145)*I145</f>
        <v>52.999999999999993</v>
      </c>
    </row>
    <row r="146" spans="2:13">
      <c r="D146" t="s">
        <v>49</v>
      </c>
      <c r="H146">
        <v>6205</v>
      </c>
      <c r="I146" s="3">
        <v>100</v>
      </c>
      <c r="J146" s="12"/>
      <c r="K146" s="30"/>
      <c r="L146" s="26"/>
      <c r="M146" s="33"/>
    </row>
    <row r="147" spans="2:13">
      <c r="D147" t="s">
        <v>121</v>
      </c>
      <c r="H147">
        <v>6200</v>
      </c>
      <c r="I147" s="8">
        <f>I145+I146</f>
        <v>600</v>
      </c>
      <c r="J147" s="18"/>
      <c r="K147" s="8">
        <f>K145+K146</f>
        <v>197</v>
      </c>
      <c r="L147" s="26"/>
      <c r="M147" s="8">
        <f>M145+M146</f>
        <v>52.999999999999993</v>
      </c>
    </row>
    <row r="148" spans="2:13">
      <c r="C148" t="s">
        <v>50</v>
      </c>
      <c r="H148">
        <v>6275</v>
      </c>
      <c r="I148" s="2">
        <v>1000</v>
      </c>
      <c r="J148" s="18"/>
      <c r="K148" s="25">
        <v>26</v>
      </c>
      <c r="L148" s="26">
        <f>K148/I148</f>
        <v>2.5999999999999999E-2</v>
      </c>
      <c r="M148" s="25">
        <f>(L$2-L148)*I148</f>
        <v>474</v>
      </c>
    </row>
    <row r="149" spans="2:13">
      <c r="C149" t="s">
        <v>51</v>
      </c>
      <c r="H149">
        <v>6450</v>
      </c>
      <c r="I149" s="2"/>
      <c r="J149" s="18"/>
      <c r="K149" s="25"/>
      <c r="L149" s="26"/>
    </row>
    <row r="150" spans="2:13">
      <c r="D150" t="s">
        <v>52</v>
      </c>
      <c r="H150">
        <v>6460</v>
      </c>
      <c r="I150" s="2">
        <v>500</v>
      </c>
      <c r="J150" s="18"/>
      <c r="K150" s="25">
        <v>194</v>
      </c>
      <c r="L150" s="26">
        <f>K150/I150</f>
        <v>0.38800000000000001</v>
      </c>
      <c r="M150" s="25">
        <f>(L$2-L150)*I150</f>
        <v>55.999999999999993</v>
      </c>
    </row>
    <row r="151" spans="2:13">
      <c r="D151" t="s">
        <v>53</v>
      </c>
      <c r="H151">
        <v>6465</v>
      </c>
      <c r="I151" s="2">
        <v>400</v>
      </c>
      <c r="J151" s="18"/>
      <c r="K151" s="25">
        <v>220</v>
      </c>
      <c r="L151" s="26">
        <f>K151/I151</f>
        <v>0.55000000000000004</v>
      </c>
      <c r="M151" s="25">
        <f>(L$2-L151)*I151</f>
        <v>-20.000000000000018</v>
      </c>
    </row>
    <row r="152" spans="2:13">
      <c r="D152" t="s">
        <v>54</v>
      </c>
      <c r="H152">
        <v>6470</v>
      </c>
      <c r="I152" s="2">
        <v>200</v>
      </c>
      <c r="J152" s="18"/>
      <c r="K152" s="25"/>
      <c r="L152" s="26">
        <f>K152/I152</f>
        <v>0</v>
      </c>
      <c r="M152" s="25">
        <f>(L$2-L152)*I152</f>
        <v>100</v>
      </c>
    </row>
    <row r="153" spans="2:13">
      <c r="D153" t="s">
        <v>55</v>
      </c>
      <c r="H153">
        <v>6480</v>
      </c>
      <c r="I153" s="2">
        <v>1200</v>
      </c>
      <c r="J153" s="18"/>
      <c r="K153" s="25">
        <v>779</v>
      </c>
      <c r="L153" s="26">
        <f>K153/I153</f>
        <v>0.64916666666666667</v>
      </c>
      <c r="M153" s="25">
        <f>(L$2-L153)*I153</f>
        <v>-179</v>
      </c>
    </row>
    <row r="154" spans="2:13">
      <c r="D154" t="s">
        <v>56</v>
      </c>
      <c r="H154">
        <v>6490</v>
      </c>
      <c r="I154" s="2">
        <v>300</v>
      </c>
      <c r="J154" s="18"/>
      <c r="K154" s="25">
        <v>281</v>
      </c>
      <c r="L154" s="26">
        <f>K154/I154</f>
        <v>0.93666666666666665</v>
      </c>
      <c r="M154" s="25">
        <f>(L$2-L154)*I154</f>
        <v>-131</v>
      </c>
    </row>
    <row r="155" spans="2:13">
      <c r="D155" t="s">
        <v>135</v>
      </c>
      <c r="H155">
        <v>6491</v>
      </c>
      <c r="I155" s="2">
        <v>500</v>
      </c>
      <c r="J155" s="18"/>
      <c r="K155" s="30"/>
      <c r="L155" s="26">
        <f>K155/I155</f>
        <v>0</v>
      </c>
      <c r="M155" s="25">
        <f>(L$2-L155)*I155</f>
        <v>250</v>
      </c>
    </row>
    <row r="156" spans="2:13">
      <c r="D156" t="s">
        <v>122</v>
      </c>
      <c r="H156">
        <v>6450</v>
      </c>
      <c r="I156" s="9">
        <f>SUM(I150:I155)</f>
        <v>3100</v>
      </c>
      <c r="J156" s="12"/>
      <c r="K156" s="9">
        <f>SUM(K150:K155)</f>
        <v>1474</v>
      </c>
      <c r="L156" s="26"/>
      <c r="M156" s="9">
        <f>SUM(M150:M155)</f>
        <v>75.999999999999972</v>
      </c>
    </row>
    <row r="157" spans="2:13">
      <c r="C157" t="s">
        <v>123</v>
      </c>
      <c r="H157">
        <v>6000</v>
      </c>
      <c r="I157" s="8">
        <f>I144+I147+I148+I156</f>
        <v>14200</v>
      </c>
      <c r="J157" s="18"/>
      <c r="K157" s="8">
        <f>K144+K147+K148+K156</f>
        <v>1841</v>
      </c>
      <c r="L157" s="26"/>
      <c r="M157" s="8">
        <f>M144+M147+M148+M156</f>
        <v>5209</v>
      </c>
    </row>
    <row r="158" spans="2:13">
      <c r="I158" s="2"/>
      <c r="J158" s="18"/>
      <c r="K158" s="25"/>
      <c r="L158" s="26"/>
    </row>
    <row r="159" spans="2:13">
      <c r="B159" t="s">
        <v>57</v>
      </c>
      <c r="H159">
        <v>6550</v>
      </c>
      <c r="I159" s="2"/>
      <c r="J159" s="18"/>
      <c r="K159" s="25"/>
      <c r="L159" s="26"/>
    </row>
    <row r="160" spans="2:13">
      <c r="C160" t="s">
        <v>58</v>
      </c>
      <c r="H160">
        <v>6560</v>
      </c>
      <c r="I160" s="2"/>
      <c r="J160" s="18"/>
      <c r="K160" s="25"/>
      <c r="L160" s="26"/>
    </row>
    <row r="161" spans="1:13">
      <c r="D161" t="s">
        <v>59</v>
      </c>
      <c r="H161">
        <v>6565</v>
      </c>
      <c r="I161" s="2">
        <v>6000</v>
      </c>
      <c r="J161" s="18"/>
      <c r="K161" s="25">
        <v>5921</v>
      </c>
      <c r="L161" s="26">
        <f>K161/I161</f>
        <v>0.98683333333333334</v>
      </c>
      <c r="M161" s="25">
        <f>(L$2-L161)*I161</f>
        <v>-2921</v>
      </c>
    </row>
    <row r="162" spans="1:13">
      <c r="C162" t="s">
        <v>124</v>
      </c>
      <c r="H162">
        <v>6570</v>
      </c>
      <c r="I162" s="2"/>
      <c r="J162" s="18"/>
      <c r="K162" s="25"/>
      <c r="L162" s="26"/>
    </row>
    <row r="163" spans="1:13">
      <c r="D163" t="s">
        <v>60</v>
      </c>
      <c r="H163">
        <v>6571</v>
      </c>
      <c r="I163" s="2">
        <v>12000</v>
      </c>
      <c r="J163" s="18"/>
      <c r="K163" s="25">
        <v>1884</v>
      </c>
      <c r="L163" s="26">
        <f>K163/I163</f>
        <v>0.157</v>
      </c>
      <c r="M163" s="25">
        <f>(L$2-L163)*I163</f>
        <v>4116</v>
      </c>
    </row>
    <row r="164" spans="1:13">
      <c r="D164" t="s">
        <v>59</v>
      </c>
      <c r="H164">
        <v>6572</v>
      </c>
      <c r="I164" s="2">
        <v>1900</v>
      </c>
      <c r="J164" s="18"/>
      <c r="K164" s="25">
        <v>891</v>
      </c>
      <c r="L164" s="26">
        <f>K164/I164</f>
        <v>0.46894736842105261</v>
      </c>
      <c r="M164" s="25">
        <f>(L$2-L164)*I164</f>
        <v>59.000000000000036</v>
      </c>
    </row>
    <row r="165" spans="1:13">
      <c r="D165" t="s">
        <v>61</v>
      </c>
      <c r="H165">
        <v>6573</v>
      </c>
      <c r="I165" s="2">
        <v>300</v>
      </c>
      <c r="J165" s="18"/>
      <c r="K165" s="30">
        <v>150</v>
      </c>
      <c r="L165" s="26">
        <f>K165/I165</f>
        <v>0.5</v>
      </c>
      <c r="M165" s="25">
        <f>(L$2-L165)*I165</f>
        <v>0</v>
      </c>
    </row>
    <row r="166" spans="1:13">
      <c r="D166" t="s">
        <v>125</v>
      </c>
      <c r="H166">
        <v>6570</v>
      </c>
      <c r="I166" s="9">
        <f>SUM(I163:I165)</f>
        <v>14200</v>
      </c>
      <c r="J166" s="12"/>
      <c r="K166" s="9">
        <f>SUM(K163:K165)</f>
        <v>2925</v>
      </c>
      <c r="L166" s="26"/>
      <c r="M166" s="9">
        <f>SUM(M163:M165)</f>
        <v>4175</v>
      </c>
    </row>
    <row r="167" spans="1:13">
      <c r="C167" t="s">
        <v>126</v>
      </c>
      <c r="H167">
        <v>6550</v>
      </c>
      <c r="I167" s="9">
        <f>I161+I166</f>
        <v>20200</v>
      </c>
      <c r="J167" s="12"/>
      <c r="K167" s="9">
        <f>K161+K166</f>
        <v>8846</v>
      </c>
      <c r="L167" s="26"/>
      <c r="M167" s="9">
        <f>M161+M166</f>
        <v>1254</v>
      </c>
    </row>
    <row r="168" spans="1:13">
      <c r="B168" t="s">
        <v>62</v>
      </c>
      <c r="I168" s="9">
        <f>I134+I157+I167</f>
        <v>400208.20999999996</v>
      </c>
      <c r="J168" s="12"/>
      <c r="K168" s="9">
        <f>K134+K157+K167</f>
        <v>169999</v>
      </c>
      <c r="L168" s="26"/>
      <c r="M168" s="9">
        <f>M134+M157+M167</f>
        <v>34795.104999999996</v>
      </c>
    </row>
    <row r="169" spans="1:13" ht="16" thickBot="1">
      <c r="A169" t="s">
        <v>127</v>
      </c>
      <c r="I169" s="11">
        <f>I22-I168</f>
        <v>6668.7900000000373</v>
      </c>
      <c r="J169" s="12"/>
      <c r="K169" s="11">
        <f>K22-K168</f>
        <v>53053</v>
      </c>
      <c r="L169" s="26"/>
      <c r="M169" s="11">
        <f>K169-(I169/2)</f>
        <v>49718.604999999981</v>
      </c>
    </row>
    <row r="170" spans="1:13" ht="16" thickTop="1">
      <c r="K170" s="25"/>
      <c r="L170" s="26"/>
    </row>
    <row r="171" spans="1:13">
      <c r="K171" s="25"/>
      <c r="L171" s="26"/>
    </row>
    <row r="172" spans="1:13">
      <c r="I172" s="34" t="s">
        <v>162</v>
      </c>
      <c r="J172"/>
      <c r="K172" s="25"/>
      <c r="L172" s="25"/>
    </row>
    <row r="173" spans="1:13">
      <c r="G173" t="s">
        <v>163</v>
      </c>
      <c r="H173" s="5"/>
      <c r="I173" s="35">
        <v>43281</v>
      </c>
      <c r="J173" s="36"/>
      <c r="K173" s="35">
        <v>43465</v>
      </c>
      <c r="L173" s="37"/>
    </row>
    <row r="174" spans="1:13">
      <c r="G174" t="s">
        <v>164</v>
      </c>
      <c r="I174" s="25">
        <v>104381.37</v>
      </c>
      <c r="J174"/>
      <c r="K174" s="25">
        <v>77374.34</v>
      </c>
      <c r="L174" s="38"/>
    </row>
    <row r="175" spans="1:13">
      <c r="G175" t="s">
        <v>165</v>
      </c>
      <c r="I175" s="25">
        <v>15948.61</v>
      </c>
      <c r="J175"/>
      <c r="K175" s="25">
        <v>49469.36</v>
      </c>
      <c r="L175" s="38"/>
    </row>
    <row r="176" spans="1:13">
      <c r="G176" t="s">
        <v>166</v>
      </c>
      <c r="I176" s="25">
        <v>19900</v>
      </c>
      <c r="J176"/>
      <c r="K176" s="25">
        <v>19900</v>
      </c>
      <c r="L176" s="38"/>
    </row>
    <row r="177" spans="7:13">
      <c r="G177" t="s">
        <v>167</v>
      </c>
      <c r="I177" s="30">
        <v>4521.6899999999996</v>
      </c>
      <c r="J177"/>
      <c r="K177" s="30">
        <v>14628.37</v>
      </c>
      <c r="L177" s="38"/>
    </row>
    <row r="178" spans="7:13">
      <c r="G178" t="s">
        <v>168</v>
      </c>
      <c r="I178" s="25">
        <f>SUM(I174:I177)</f>
        <v>144751.66999999998</v>
      </c>
      <c r="J178"/>
      <c r="K178" s="25">
        <f>SUM(K174:K177)</f>
        <v>161372.07</v>
      </c>
      <c r="L178" s="38"/>
    </row>
    <row r="179" spans="7:13">
      <c r="K179" s="25"/>
      <c r="L179" s="26"/>
    </row>
    <row r="180" spans="7:13">
      <c r="K180" s="25"/>
      <c r="L180" s="26"/>
    </row>
    <row r="181" spans="7:13">
      <c r="H181" s="5" t="s">
        <v>169</v>
      </c>
      <c r="I181" s="13">
        <v>42296.98</v>
      </c>
      <c r="K181" s="25">
        <v>20403.57</v>
      </c>
      <c r="L181" s="26">
        <f>K181/I181</f>
        <v>0.48238834072787223</v>
      </c>
      <c r="M181" s="25">
        <f>(L$2-L181)*I181</f>
        <v>744.9200000000028</v>
      </c>
    </row>
    <row r="182" spans="7:13">
      <c r="H182" s="5" t="s">
        <v>170</v>
      </c>
      <c r="I182" s="14">
        <v>19256.810000000001</v>
      </c>
      <c r="K182" s="25">
        <v>9319.74</v>
      </c>
      <c r="L182" s="26">
        <f>K182/I182</f>
        <v>0.48397112502018763</v>
      </c>
      <c r="M182" s="25">
        <f>(L$2-L182)*I182</f>
        <v>308.66500000000065</v>
      </c>
    </row>
    <row r="183" spans="7:13">
      <c r="H183" s="5" t="s">
        <v>171</v>
      </c>
      <c r="I183" s="32">
        <f>SUM(I181:I182)</f>
        <v>61553.790000000008</v>
      </c>
      <c r="K183" s="25"/>
      <c r="L183" s="26"/>
    </row>
    <row r="184" spans="7:13">
      <c r="H184" s="5" t="s">
        <v>172</v>
      </c>
      <c r="I184" s="39">
        <f>I169-I183</f>
        <v>-54884.999999999971</v>
      </c>
      <c r="K184" s="25"/>
      <c r="L184" s="26"/>
    </row>
    <row r="185" spans="7:13">
      <c r="H185" s="5" t="s">
        <v>173</v>
      </c>
      <c r="I185" s="40">
        <f>8000*4</f>
        <v>32000</v>
      </c>
      <c r="K185" s="25"/>
      <c r="L185" s="26"/>
    </row>
    <row r="186" spans="7:13">
      <c r="H186" s="5" t="s">
        <v>172</v>
      </c>
      <c r="I186" s="39">
        <f>I184+I185</f>
        <v>-22884.999999999971</v>
      </c>
      <c r="K186" s="25"/>
      <c r="L186" s="26"/>
    </row>
    <row r="187" spans="7:13">
      <c r="H187" s="5" t="s">
        <v>174</v>
      </c>
      <c r="I187" s="28">
        <v>20087.419999999998</v>
      </c>
      <c r="K187" s="25">
        <v>20115</v>
      </c>
      <c r="L187" s="26">
        <f>K187/I187</f>
        <v>1.0013729986230189</v>
      </c>
      <c r="M187" s="25">
        <f>K187-I187</f>
        <v>27.580000000001746</v>
      </c>
    </row>
    <row r="188" spans="7:13">
      <c r="H188" s="5" t="s">
        <v>172</v>
      </c>
      <c r="I188" s="39">
        <f>I186+I187</f>
        <v>-2797.5799999999726</v>
      </c>
      <c r="L188" s="26"/>
    </row>
    <row r="189" spans="7:13">
      <c r="H189" s="5" t="s">
        <v>175</v>
      </c>
      <c r="I189" s="40">
        <v>87812.14</v>
      </c>
      <c r="L189" s="26"/>
    </row>
    <row r="190" spans="7:13">
      <c r="H190" s="5" t="s">
        <v>172</v>
      </c>
      <c r="I190" s="39">
        <f>I188+I189</f>
        <v>85014.560000000027</v>
      </c>
    </row>
    <row r="191" spans="7:13">
      <c r="H191" s="5"/>
      <c r="I191" s="39"/>
    </row>
    <row r="193" spans="6:13">
      <c r="F193" s="34" t="s">
        <v>176</v>
      </c>
      <c r="G193" s="34"/>
    </row>
    <row r="194" spans="6:13">
      <c r="G194" t="s">
        <v>177</v>
      </c>
      <c r="I194" s="25"/>
      <c r="K194" s="25">
        <v>12346</v>
      </c>
      <c r="M194" s="25">
        <f>-K194</f>
        <v>-12346</v>
      </c>
    </row>
    <row r="195" spans="6:13">
      <c r="G195" t="s">
        <v>178</v>
      </c>
      <c r="I195" s="25"/>
      <c r="K195" s="25">
        <v>33742</v>
      </c>
      <c r="M195" s="31">
        <f>-K195</f>
        <v>-33742</v>
      </c>
    </row>
    <row r="196" spans="6:13">
      <c r="M196" s="32">
        <f>SUM(M194:M195)</f>
        <v>-46088</v>
      </c>
    </row>
  </sheetData>
  <pageMargins left="0.75" right="0.75" top="1" bottom="1" header="0.5" footer="0.5"/>
  <pageSetup scale="69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Draft Budget 2018 to 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Koopman</dc:creator>
  <cp:lastModifiedBy>Roger Koopman</cp:lastModifiedBy>
  <cp:lastPrinted>2018-05-17T21:48:32Z</cp:lastPrinted>
  <dcterms:created xsi:type="dcterms:W3CDTF">2016-06-12T17:33:15Z</dcterms:created>
  <dcterms:modified xsi:type="dcterms:W3CDTF">2019-01-12T18:19:03Z</dcterms:modified>
</cp:coreProperties>
</file>